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ser.alobaid\Desktop\"/>
    </mc:Choice>
  </mc:AlternateContent>
  <bookViews>
    <workbookView xWindow="0" yWindow="0" windowWidth="28800" windowHeight="12300" tabRatio="763" activeTab="1"/>
  </bookViews>
  <sheets>
    <sheet name="Stores &amp; Services Fund" sheetId="1" r:id="rId1"/>
    <sheet name="Water &amp; Sewer Fund" sheetId="2" r:id="rId2"/>
    <sheet name="Closing Entries" sheetId="3" r:id="rId3"/>
    <sheet name="Stmt of revenues &amp; expenses" sheetId="5" r:id="rId4"/>
    <sheet name="Stmt of net position" sheetId="4" r:id="rId5"/>
    <sheet name="Stmt of Cash Flows" sheetId="6" r:id="rId6"/>
  </sheets>
  <definedNames>
    <definedName name="_xlnm.Print_Area" localSheetId="2">'Closing Entries'!$A$1:$H$45</definedName>
    <definedName name="_xlnm.Print_Area" localSheetId="5">'Stmt of Cash Flows'!$A$1:$D$34</definedName>
    <definedName name="_xlnm.Print_Area" localSheetId="4">'Stmt of net position'!$A$1:$F$35</definedName>
    <definedName name="_xlnm.Print_Area" localSheetId="3">'Stmt of revenues &amp; expenses'!$A$1:$F$21</definedName>
    <definedName name="_xlnm.Print_Area" localSheetId="0">'Stores &amp; Services Fund'!$A$1:$W$43</definedName>
    <definedName name="_xlnm.Print_Area" localSheetId="1">'Water &amp; Sewer Fund'!$A$1:$X$60</definedName>
  </definedNames>
  <calcPr calcId="171027"/>
</workbook>
</file>

<file path=xl/calcChain.xml><?xml version="1.0" encoding="utf-8"?>
<calcChain xmlns="http://schemas.openxmlformats.org/spreadsheetml/2006/main">
  <c r="F44" i="2" l="1"/>
  <c r="E37" i="2"/>
  <c r="F38" i="2" s="1"/>
  <c r="F16" i="2"/>
  <c r="F10" i="2"/>
  <c r="R54" i="2"/>
  <c r="U56" i="2" s="1"/>
  <c r="R55" i="2"/>
  <c r="F30" i="1"/>
  <c r="E22" i="1"/>
  <c r="F14" i="1"/>
  <c r="F11" i="1"/>
  <c r="F8" i="1"/>
  <c r="Q42" i="1" l="1"/>
  <c r="F48" i="2" l="1"/>
  <c r="F28" i="2"/>
  <c r="V25" i="2" s="1"/>
  <c r="V30" i="2" s="1"/>
  <c r="F22" i="2"/>
  <c r="J16" i="2" s="1"/>
  <c r="F7" i="2"/>
  <c r="I67" i="2"/>
  <c r="E32" i="1"/>
  <c r="E41" i="1" s="1"/>
  <c r="F24" i="1"/>
  <c r="J25" i="1" s="1"/>
  <c r="B18" i="6"/>
  <c r="D18" i="6"/>
  <c r="B10" i="6"/>
  <c r="B9" i="6"/>
  <c r="D16" i="6"/>
  <c r="F19" i="3"/>
  <c r="D21" i="3"/>
  <c r="E32" i="4" s="1"/>
  <c r="N16" i="1"/>
  <c r="V16" i="1"/>
  <c r="U34" i="1"/>
  <c r="U37" i="1" s="1"/>
  <c r="E11" i="5" s="1"/>
  <c r="D24" i="6" s="1"/>
  <c r="I26" i="1"/>
  <c r="J7" i="1"/>
  <c r="D5" i="6"/>
  <c r="R7" i="1"/>
  <c r="I6" i="1"/>
  <c r="Q34" i="1"/>
  <c r="Q37" i="1" s="1"/>
  <c r="M34" i="1"/>
  <c r="N5" i="1"/>
  <c r="M33" i="1"/>
  <c r="J33" i="1"/>
  <c r="Q6" i="1"/>
  <c r="J5" i="1"/>
  <c r="D11" i="6" s="1"/>
  <c r="D12" i="6" s="1"/>
  <c r="M24" i="1"/>
  <c r="N28" i="1" s="1"/>
  <c r="E26" i="4" s="1"/>
  <c r="E27" i="4" s="1"/>
  <c r="J24" i="1"/>
  <c r="M5" i="1"/>
  <c r="R5" i="1"/>
  <c r="I5" i="1"/>
  <c r="J37" i="1"/>
  <c r="C7" i="3" s="1"/>
  <c r="R28" i="1"/>
  <c r="E18" i="5" s="1"/>
  <c r="N19" i="1"/>
  <c r="C17" i="3" s="1"/>
  <c r="F17" i="3" s="1"/>
  <c r="V19" i="1"/>
  <c r="Q19" i="1"/>
  <c r="I19" i="1"/>
  <c r="U10" i="1"/>
  <c r="J8" i="2"/>
  <c r="M25" i="2"/>
  <c r="V16" i="2"/>
  <c r="V20" i="2"/>
  <c r="C40" i="3" s="1"/>
  <c r="F40" i="3" s="1"/>
  <c r="U43" i="2"/>
  <c r="J7" i="2"/>
  <c r="I37" i="2"/>
  <c r="J36" i="2"/>
  <c r="I17" i="2"/>
  <c r="J6" i="2"/>
  <c r="U26" i="2"/>
  <c r="Q26" i="2"/>
  <c r="U36" i="2"/>
  <c r="R6" i="2"/>
  <c r="N6" i="2"/>
  <c r="Q5" i="2"/>
  <c r="Q16" i="2"/>
  <c r="J28" i="2"/>
  <c r="R25" i="2"/>
  <c r="R30" i="2" s="1"/>
  <c r="C19" i="4" s="1"/>
  <c r="M30" i="2"/>
  <c r="C12" i="4" s="1"/>
  <c r="I25" i="2"/>
  <c r="I26" i="2"/>
  <c r="I27" i="2"/>
  <c r="J5" i="2"/>
  <c r="J52" i="2"/>
  <c r="I51" i="2"/>
  <c r="I54" i="2" s="1"/>
  <c r="J4" i="2"/>
  <c r="B5" i="6"/>
  <c r="Q44" i="2"/>
  <c r="Q43" i="2"/>
  <c r="Q47" i="2"/>
  <c r="D32" i="3" s="1"/>
  <c r="M44" i="2"/>
  <c r="M43" i="2"/>
  <c r="I44" i="2"/>
  <c r="I43" i="2"/>
  <c r="I47" i="2" s="1"/>
  <c r="I16" i="2"/>
  <c r="N16" i="2"/>
  <c r="M20" i="2" s="1"/>
  <c r="C11" i="4" s="1"/>
  <c r="I5" i="2"/>
  <c r="B15" i="6"/>
  <c r="B16" i="6" s="1"/>
  <c r="N5" i="2"/>
  <c r="I4" i="2"/>
  <c r="B4" i="6"/>
  <c r="B6" i="6" s="1"/>
  <c r="V35" i="2"/>
  <c r="V39" i="2" s="1"/>
  <c r="U5" i="2"/>
  <c r="M5" i="2"/>
  <c r="E63" i="2"/>
  <c r="U47" i="2"/>
  <c r="D33" i="3" s="1"/>
  <c r="Q20" i="2"/>
  <c r="R39" i="2"/>
  <c r="F28" i="3"/>
  <c r="N39" i="2"/>
  <c r="C41" i="3"/>
  <c r="F41" i="3" s="1"/>
  <c r="C25" i="4"/>
  <c r="C27" i="4" s="1"/>
  <c r="J39" i="2"/>
  <c r="C21" i="4" s="1"/>
  <c r="U10" i="2"/>
  <c r="B26" i="6" s="1"/>
  <c r="R10" i="2"/>
  <c r="C11" i="5"/>
  <c r="B24" i="6" s="1"/>
  <c r="C18" i="5"/>
  <c r="C10" i="5"/>
  <c r="D42" i="3"/>
  <c r="F42" i="3" s="1"/>
  <c r="D44" i="3"/>
  <c r="C32" i="4" s="1"/>
  <c r="D34" i="3" l="1"/>
  <c r="C16" i="5"/>
  <c r="M37" i="1"/>
  <c r="C6" i="4"/>
  <c r="F7" i="3"/>
  <c r="M47" i="2"/>
  <c r="C9" i="5" s="1"/>
  <c r="E4" i="5"/>
  <c r="E5" i="5" s="1"/>
  <c r="D4" i="6"/>
  <c r="D6" i="6" s="1"/>
  <c r="D17" i="6" s="1"/>
  <c r="D19" i="6" s="1"/>
  <c r="B12" i="6"/>
  <c r="I10" i="2"/>
  <c r="M10" i="2"/>
  <c r="I30" i="2"/>
  <c r="C13" i="4" s="1"/>
  <c r="C14" i="4" s="1"/>
  <c r="D31" i="3"/>
  <c r="B29" i="6"/>
  <c r="C20" i="4"/>
  <c r="C22" i="4" s="1"/>
  <c r="C28" i="4" s="1"/>
  <c r="B17" i="6"/>
  <c r="B19" i="6" s="1"/>
  <c r="I20" i="2"/>
  <c r="B27" i="6" s="1"/>
  <c r="C8" i="5"/>
  <c r="D30" i="3"/>
  <c r="F63" i="2"/>
  <c r="C28" i="3"/>
  <c r="C4" i="5"/>
  <c r="C5" i="5" s="1"/>
  <c r="C5" i="4"/>
  <c r="B25" i="6"/>
  <c r="B28" i="6"/>
  <c r="R52" i="2"/>
  <c r="C7" i="4"/>
  <c r="B30" i="6"/>
  <c r="M10" i="1"/>
  <c r="D27" i="6" s="1"/>
  <c r="C18" i="3"/>
  <c r="F18" i="3" s="1"/>
  <c r="E7" i="4"/>
  <c r="E10" i="5"/>
  <c r="D10" i="3"/>
  <c r="I10" i="1"/>
  <c r="C16" i="3"/>
  <c r="D11" i="3"/>
  <c r="Q10" i="1"/>
  <c r="D26" i="6" s="1"/>
  <c r="D9" i="3"/>
  <c r="E8" i="5"/>
  <c r="E12" i="5" s="1"/>
  <c r="E13" i="5" s="1"/>
  <c r="F41" i="1"/>
  <c r="J28" i="1"/>
  <c r="E19" i="4" s="1"/>
  <c r="E22" i="4" s="1"/>
  <c r="E28" i="4" s="1"/>
  <c r="E13" i="4"/>
  <c r="E14" i="4" s="1"/>
  <c r="F16" i="3"/>
  <c r="R51" i="2" l="1"/>
  <c r="C4" i="4"/>
  <c r="C12" i="5"/>
  <c r="C13" i="5" s="1"/>
  <c r="C39" i="3"/>
  <c r="F39" i="3" s="1"/>
  <c r="C44" i="3"/>
  <c r="C31" i="4" s="1"/>
  <c r="D29" i="3"/>
  <c r="F29" i="3" s="1"/>
  <c r="F34" i="3" s="1"/>
  <c r="C8" i="4"/>
  <c r="C15" i="4" s="1"/>
  <c r="N39" i="1"/>
  <c r="E6" i="4"/>
  <c r="C21" i="3"/>
  <c r="E4" i="4"/>
  <c r="D8" i="3"/>
  <c r="F8" i="3" s="1"/>
  <c r="F11" i="3" s="1"/>
  <c r="E20" i="3" s="1"/>
  <c r="E8" i="4"/>
  <c r="E15" i="4" s="1"/>
  <c r="D22" i="6"/>
  <c r="E17" i="5"/>
  <c r="E19" i="5" s="1"/>
  <c r="N40" i="1"/>
  <c r="D28" i="6"/>
  <c r="E31" i="4"/>
  <c r="B22" i="6" l="1"/>
  <c r="B31" i="6" s="1"/>
  <c r="C17" i="5"/>
  <c r="C19" i="5" s="1"/>
  <c r="E43" i="3"/>
  <c r="E44" i="3" s="1"/>
  <c r="C33" i="4" s="1"/>
  <c r="C34" i="4" s="1"/>
  <c r="F43" i="3"/>
  <c r="F44" i="3" s="1"/>
  <c r="D31" i="6"/>
  <c r="E21" i="3"/>
  <c r="E33" i="4" s="1"/>
  <c r="E34" i="4" s="1"/>
  <c r="F20" i="3"/>
  <c r="F21" i="3" s="1"/>
</calcChain>
</file>

<file path=xl/sharedStrings.xml><?xml version="1.0" encoding="utf-8"?>
<sst xmlns="http://schemas.openxmlformats.org/spreadsheetml/2006/main" count="294" uniqueCount="170">
  <si>
    <t xml:space="preserve">             CASH</t>
  </si>
  <si>
    <t>bb</t>
  </si>
  <si>
    <t xml:space="preserve">            RESERVE FOR ENCUMBRANCES</t>
  </si>
  <si>
    <t>ACCOUNTS PAYABLE</t>
  </si>
  <si>
    <t>Cash</t>
  </si>
  <si>
    <t>Debits</t>
  </si>
  <si>
    <t>Credits</t>
  </si>
  <si>
    <t>reference</t>
  </si>
  <si>
    <t xml:space="preserve">          Account Titles</t>
  </si>
  <si>
    <t>Account Title</t>
  </si>
  <si>
    <t>Preclosing</t>
  </si>
  <si>
    <t>closing entry</t>
  </si>
  <si>
    <t>WATER AND SEWER ENTERPRISE FUND</t>
  </si>
  <si>
    <t xml:space="preserve">      ESTIMATED </t>
  </si>
  <si>
    <t xml:space="preserve">       CUSTOMER</t>
  </si>
  <si>
    <t>ACCOUNTS  RECEIVABLE</t>
  </si>
  <si>
    <t>UNCOLLECTIBLE ACCNTS</t>
  </si>
  <si>
    <t xml:space="preserve">      GENERAL FUND</t>
  </si>
  <si>
    <t xml:space="preserve">            DUE FROM</t>
  </si>
  <si>
    <t>ADVANCE TO SUPPLIES</t>
  </si>
  <si>
    <t xml:space="preserve">    AND STORES FUND</t>
  </si>
  <si>
    <t>ACCUMULATED DEPR'</t>
  </si>
  <si>
    <t xml:space="preserve">       CONSTRUCTION</t>
  </si>
  <si>
    <t xml:space="preserve">         IN PROCESS</t>
  </si>
  <si>
    <t>RESTRICTED ASSETS</t>
  </si>
  <si>
    <t xml:space="preserve">            PAYROLL</t>
  </si>
  <si>
    <t xml:space="preserve">         TAXES PAYABLE</t>
  </si>
  <si>
    <t xml:space="preserve">   &amp; SERVICES FUND</t>
  </si>
  <si>
    <t xml:space="preserve">    DUE TO STORES</t>
  </si>
  <si>
    <t xml:space="preserve">           REVENUE</t>
  </si>
  <si>
    <t xml:space="preserve">      BONDS PAYABLE</t>
  </si>
  <si>
    <t>FOR SALES &amp; SERVICES</t>
  </si>
  <si>
    <t xml:space="preserve">      REVENUES - CHARGES</t>
  </si>
  <si>
    <t>OPERATING EXPENSES</t>
  </si>
  <si>
    <t>COST OF SALES &amp; SERVs</t>
  </si>
  <si>
    <t xml:space="preserve">               SELLING </t>
  </si>
  <si>
    <t xml:space="preserve">   ADMINISTRATION</t>
  </si>
  <si>
    <t xml:space="preserve">      DEPRECIATION</t>
  </si>
  <si>
    <t>NON- OPERATING EXPENSES</t>
  </si>
  <si>
    <t xml:space="preserve">              INTEREST</t>
  </si>
  <si>
    <t>Customer Accounts Receivable</t>
  </si>
  <si>
    <t>Due From General Fund</t>
  </si>
  <si>
    <t>Operating Revenues-Charges for Sales &amp; Services</t>
  </si>
  <si>
    <t>Advance to Stores &amp; Services Fund</t>
  </si>
  <si>
    <t>Materials and Supplies</t>
  </si>
  <si>
    <t>Accounts Payable</t>
  </si>
  <si>
    <t xml:space="preserve">Operating Expenses-Costs of Sales &amp; Services </t>
  </si>
  <si>
    <t>Operating Expenses-Selling</t>
  </si>
  <si>
    <t>Operating Expenses-Administration</t>
  </si>
  <si>
    <t>Construction Work in Progress</t>
  </si>
  <si>
    <t>Payroll Taxes Payable</t>
  </si>
  <si>
    <t>Nonoperating Expenses-Interest</t>
  </si>
  <si>
    <t>Estimated Uncollectible Accounts</t>
  </si>
  <si>
    <t>Due to Stores and Services Fund</t>
  </si>
  <si>
    <t>Operating Expenses-Depreciation</t>
  </si>
  <si>
    <t>Accumulated Depreciation</t>
  </si>
  <si>
    <t>Restricted Assets</t>
  </si>
  <si>
    <t>MATERIALS &amp; SUPPLIES</t>
  </si>
  <si>
    <t xml:space="preserve">           INVENTORIES</t>
  </si>
  <si>
    <t xml:space="preserve">            ( beginning)</t>
  </si>
  <si>
    <t>STORES AND SERVICES INTERNAL SERVICE FUND</t>
  </si>
  <si>
    <t xml:space="preserve">        OTHER FUNDS</t>
  </si>
  <si>
    <t xml:space="preserve">                LAND</t>
  </si>
  <si>
    <t xml:space="preserve">           BUILDINGS</t>
  </si>
  <si>
    <t xml:space="preserve">        EQUIPMENT</t>
  </si>
  <si>
    <t xml:space="preserve">  ENTERPRISE FUND</t>
  </si>
  <si>
    <t xml:space="preserve">      ADVANCE FROM</t>
  </si>
  <si>
    <t>6-C-2</t>
  </si>
  <si>
    <t>6-C-1</t>
  </si>
  <si>
    <t>No journal entry</t>
  </si>
  <si>
    <t>Due from Other Funds</t>
  </si>
  <si>
    <t>Inventory of Supplies</t>
  </si>
  <si>
    <t xml:space="preserve">       INVENTORY OF</t>
  </si>
  <si>
    <t xml:space="preserve">            SUPPLIES</t>
  </si>
  <si>
    <t>Operating Expenses - Depreciation</t>
  </si>
  <si>
    <t>Accumulated Depreciation - Buildings</t>
  </si>
  <si>
    <t>Accumulated Depreciation - Equipment</t>
  </si>
  <si>
    <t>debits = credits ??</t>
  </si>
  <si>
    <t>Advance from Enterprise Fund</t>
  </si>
  <si>
    <t>Operating revenue - charges for services</t>
  </si>
  <si>
    <t xml:space="preserve">  Operating expenses - depreciation</t>
  </si>
  <si>
    <t xml:space="preserve">Restricted </t>
  </si>
  <si>
    <t>Unrestricted</t>
  </si>
  <si>
    <t>Total</t>
  </si>
  <si>
    <t xml:space="preserve">     Capital Assets</t>
  </si>
  <si>
    <t xml:space="preserve">     Less: Accumulated Depreciation</t>
  </si>
  <si>
    <t xml:space="preserve">     Less: Advance from Enterprise fund</t>
  </si>
  <si>
    <t>Restricted</t>
  </si>
  <si>
    <t>Stores and Services Internal Service Fund Closing Entry</t>
  </si>
  <si>
    <t xml:space="preserve">  Operating expenses - cost of sales &amp; services</t>
  </si>
  <si>
    <t xml:space="preserve">  Operating expenses - administration</t>
  </si>
  <si>
    <t>Water and Sewer Enterprise Fund Closing Entry</t>
  </si>
  <si>
    <t xml:space="preserve">  Operating expenses - selling</t>
  </si>
  <si>
    <t xml:space="preserve">     Less: Revenue Bond Payable</t>
  </si>
  <si>
    <t>Business-Type Activities Enterprise Funds Water and Sewer</t>
  </si>
  <si>
    <t>Governmental Activities           Internal Service Funds</t>
  </si>
  <si>
    <t>Operating Revenues</t>
  </si>
  <si>
    <t xml:space="preserve"> Charges for Services</t>
  </si>
  <si>
    <t xml:space="preserve">          Total Current Assets</t>
  </si>
  <si>
    <t xml:space="preserve"> Operating Expenses</t>
  </si>
  <si>
    <t xml:space="preserve"> Cost of Sales and Services</t>
  </si>
  <si>
    <t xml:space="preserve">  Selling</t>
  </si>
  <si>
    <t xml:space="preserve">  Administration</t>
  </si>
  <si>
    <t xml:space="preserve">  Depreciation</t>
  </si>
  <si>
    <t xml:space="preserve">              Total Operating Expenses</t>
  </si>
  <si>
    <t>Operting Income</t>
  </si>
  <si>
    <t xml:space="preserve"> Nonoperating Expenses</t>
  </si>
  <si>
    <t xml:space="preserve">  Interest Expense</t>
  </si>
  <si>
    <t>Governmental Activities Internal Service Funds</t>
  </si>
  <si>
    <t>Assets</t>
  </si>
  <si>
    <t>Current Assets</t>
  </si>
  <si>
    <t>Customer Accounts Receivable (Net)</t>
  </si>
  <si>
    <t>Inventories</t>
  </si>
  <si>
    <t>Noncurrent Assets</t>
  </si>
  <si>
    <t>Advance to Stores and Services Fund</t>
  </si>
  <si>
    <t>Capital Assets, Net of Accumulated Depreciation</t>
  </si>
  <si>
    <t xml:space="preserve">              Total Noncurrent Assets</t>
  </si>
  <si>
    <t xml:space="preserve">              Total Assets</t>
  </si>
  <si>
    <t>Liabilities</t>
  </si>
  <si>
    <t>Current Liabilities</t>
  </si>
  <si>
    <t>Due to Internal Service Fund</t>
  </si>
  <si>
    <t xml:space="preserve">                Total Current Liabilities</t>
  </si>
  <si>
    <t>Noncurrent Liabilities</t>
  </si>
  <si>
    <t>Revenue Bonds Payable</t>
  </si>
  <si>
    <t>Advance from Water Utility Fund</t>
  </si>
  <si>
    <t xml:space="preserve">                Total Noncurrent Liabilities</t>
  </si>
  <si>
    <t xml:space="preserve">                Total Liabilities</t>
  </si>
  <si>
    <t>Cash Flows from Operating Activities</t>
  </si>
  <si>
    <t xml:space="preserve"> Cash Received from Customers and Departments</t>
  </si>
  <si>
    <t xml:space="preserve"> Cash Paid to Suppliers and Employees</t>
  </si>
  <si>
    <t>Net Cash Provided by Operating Activities</t>
  </si>
  <si>
    <t>Cash Flows from Capital Related Financing Activities</t>
  </si>
  <si>
    <t xml:space="preserve">  Acquisition of Capital Assets</t>
  </si>
  <si>
    <t xml:space="preserve">  Interest Paid on Long-term Debt</t>
  </si>
  <si>
    <t xml:space="preserve">  Partial Repayment of Advance from Enterprise Fund</t>
  </si>
  <si>
    <t>Net Cash Used in Capital Related Financing Activities</t>
  </si>
  <si>
    <t xml:space="preserve"> Cash Flows from Investing Activities</t>
  </si>
  <si>
    <t xml:space="preserve"> Partial Receipt of Advance to Internal Service Fund</t>
  </si>
  <si>
    <t>Net Cash Provided from Investing Activities</t>
  </si>
  <si>
    <t>Reconciliation of Operating Income to Net Cash Provided by Operating Activities</t>
  </si>
  <si>
    <t xml:space="preserve"> Operating Income</t>
  </si>
  <si>
    <t>Adjustments to Reconcile Operating Income to Net Cash Provided by Operating Actitities</t>
  </si>
  <si>
    <t xml:space="preserve">  (Increase) Decrease in Customer Accounts Receivable</t>
  </si>
  <si>
    <t xml:space="preserve">  (Increase)Decrease in Interfund Receivables</t>
  </si>
  <si>
    <t xml:space="preserve">  (Increase) Decrease in Inventories  </t>
  </si>
  <si>
    <t xml:space="preserve">  Increase (Decrease) in Accounts Payable</t>
  </si>
  <si>
    <t xml:space="preserve">  Increase (Decrease) in Payroll Taxes Payable</t>
  </si>
  <si>
    <t xml:space="preserve">  Increase (Decrease) in Interfund Liabilities</t>
  </si>
  <si>
    <t xml:space="preserve">  Nonoperating expense - interest</t>
  </si>
  <si>
    <t>Cash and Restricted Cash, January 1</t>
  </si>
  <si>
    <t>Cash and Restricted Cash, December 31</t>
  </si>
  <si>
    <t xml:space="preserve">    WATER TREATMENT</t>
  </si>
  <si>
    <t xml:space="preserve">               PLANT</t>
  </si>
  <si>
    <t xml:space="preserve">     - WATER PLANT</t>
  </si>
  <si>
    <t xml:space="preserve">Water Treatment Plant </t>
  </si>
  <si>
    <t>Net Increase (Decrease) in Cash</t>
  </si>
  <si>
    <t>Non-cash investing, capital, and financing activities:</t>
  </si>
  <si>
    <t xml:space="preserve">           NET POSITION</t>
  </si>
  <si>
    <t>NET POSITION</t>
  </si>
  <si>
    <t xml:space="preserve">  Net Position</t>
  </si>
  <si>
    <t xml:space="preserve">Net Investment in Capital Assets </t>
  </si>
  <si>
    <t>Net Investment in Capital Assets</t>
  </si>
  <si>
    <t>Change in Net Position</t>
  </si>
  <si>
    <t>Net Position, January 1</t>
  </si>
  <si>
    <t>Net Position, December 31</t>
  </si>
  <si>
    <t xml:space="preserve">                Total Net Position</t>
  </si>
  <si>
    <t>Net Position</t>
  </si>
  <si>
    <t xml:space="preserve">Total Debits </t>
  </si>
  <si>
    <t>Total Credits</t>
  </si>
  <si>
    <t>Restricted Assets (Cash)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</si>
</sst>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41" formatCode="_(* #,##0_);_(* \(#,##0\);_(* &quot;-&quot;_);_(@_)"/>
  </numFmts>
  <fonts count="24" x14ac:knownFonts="1">
    <font>
      <sz val="10"/>
      <name val="Arial"/>
    </font>
    <font>
      <b/>
      <sz val="8"/>
      <color indexed="6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u/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8"/>
      <color indexed="60"/>
      <name val="Arial"/>
      <family val="2"/>
    </font>
    <font>
      <sz val="10"/>
      <color indexed="60"/>
      <name val="Arial"/>
      <family val="2"/>
    </font>
    <font>
      <b/>
      <sz val="10"/>
      <color indexed="62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b/>
      <sz val="9"/>
      <color indexed="62"/>
      <name val="Times New Roman"/>
      <family val="1"/>
    </font>
    <font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2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114">
    <xf numFmtId="0" fontId="0" fillId="0" borderId="0" xfId="0"/>
    <xf numFmtId="41" fontId="4" fillId="0" borderId="0" xfId="0" applyNumberFormat="1" applyFont="1"/>
    <xf numFmtId="41" fontId="4" fillId="0" borderId="0" xfId="0" applyNumberFormat="1" applyFont="1" applyAlignment="1">
      <alignment horizontal="center"/>
    </xf>
    <xf numFmtId="41" fontId="10" fillId="0" borderId="0" xfId="0" applyNumberFormat="1" applyFont="1"/>
    <xf numFmtId="42" fontId="10" fillId="0" borderId="0" xfId="0" applyNumberFormat="1" applyFont="1"/>
    <xf numFmtId="41" fontId="10" fillId="0" borderId="1" xfId="0" applyNumberFormat="1" applyFont="1" applyBorder="1"/>
    <xf numFmtId="42" fontId="10" fillId="0" borderId="3" xfId="0" applyNumberFormat="1" applyFont="1" applyBorder="1"/>
    <xf numFmtId="41" fontId="4" fillId="0" borderId="0" xfId="0" applyNumberFormat="1" applyFont="1" applyAlignment="1">
      <alignment horizontal="center" wrapText="1"/>
    </xf>
    <xf numFmtId="41" fontId="10" fillId="0" borderId="2" xfId="0" applyNumberFormat="1" applyFont="1" applyBorder="1"/>
    <xf numFmtId="41" fontId="10" fillId="0" borderId="4" xfId="0" applyNumberFormat="1" applyFont="1" applyBorder="1"/>
    <xf numFmtId="41" fontId="4" fillId="0" borderId="0" xfId="0" applyNumberFormat="1" applyFont="1" applyAlignment="1">
      <alignment horizontal="left"/>
    </xf>
    <xf numFmtId="41" fontId="10" fillId="0" borderId="0" xfId="0" applyNumberFormat="1" applyFont="1" applyBorder="1"/>
    <xf numFmtId="41" fontId="10" fillId="0" borderId="0" xfId="0" applyNumberFormat="1" applyFont="1" applyAlignment="1">
      <alignment wrapText="1"/>
    </xf>
    <xf numFmtId="37" fontId="10" fillId="0" borderId="0" xfId="0" applyNumberFormat="1" applyFont="1"/>
    <xf numFmtId="41" fontId="3" fillId="0" borderId="0" xfId="0" applyNumberFormat="1" applyFont="1" applyFill="1"/>
    <xf numFmtId="41" fontId="3" fillId="0" borderId="0" xfId="0" applyNumberFormat="1" applyFont="1" applyFill="1" applyAlignment="1">
      <alignment horizontal="center"/>
    </xf>
    <xf numFmtId="41" fontId="12" fillId="0" borderId="0" xfId="0" applyNumberFormat="1" applyFont="1" applyFill="1" applyBorder="1" applyAlignment="1"/>
    <xf numFmtId="41" fontId="12" fillId="0" borderId="0" xfId="0" applyNumberFormat="1" applyFont="1" applyFill="1" applyAlignment="1"/>
    <xf numFmtId="41" fontId="12" fillId="0" borderId="0" xfId="0" applyNumberFormat="1" applyFont="1" applyFill="1"/>
    <xf numFmtId="37" fontId="1" fillId="0" borderId="0" xfId="0" applyNumberFormat="1" applyFont="1" applyFill="1"/>
    <xf numFmtId="41" fontId="2" fillId="0" borderId="0" xfId="0" applyNumberFormat="1" applyFont="1" applyFill="1"/>
    <xf numFmtId="37" fontId="1" fillId="0" borderId="0" xfId="0" applyNumberFormat="1" applyFont="1" applyFill="1" applyAlignment="1">
      <alignment horizontal="left"/>
    </xf>
    <xf numFmtId="37" fontId="1" fillId="0" borderId="0" xfId="0" applyNumberFormat="1" applyFont="1" applyFill="1" applyAlignment="1">
      <alignment horizontal="right"/>
    </xf>
    <xf numFmtId="41" fontId="14" fillId="0" borderId="0" xfId="0" applyNumberFormat="1" applyFont="1" applyFill="1"/>
    <xf numFmtId="41" fontId="14" fillId="0" borderId="0" xfId="0" applyNumberFormat="1" applyFont="1" applyFill="1" applyAlignment="1"/>
    <xf numFmtId="37" fontId="1" fillId="0" borderId="0" xfId="0" applyNumberFormat="1" applyFont="1" applyFill="1" applyBorder="1" applyAlignment="1">
      <alignment horizontal="left"/>
    </xf>
    <xf numFmtId="41" fontId="2" fillId="0" borderId="1" xfId="0" applyNumberFormat="1" applyFont="1" applyFill="1" applyBorder="1"/>
    <xf numFmtId="41" fontId="4" fillId="0" borderId="1" xfId="0" applyNumberFormat="1" applyFont="1" applyFill="1" applyBorder="1" applyAlignment="1">
      <alignment horizontal="center"/>
    </xf>
    <xf numFmtId="41" fontId="13" fillId="0" borderId="1" xfId="0" applyNumberFormat="1" applyFont="1" applyFill="1" applyBorder="1" applyAlignment="1"/>
    <xf numFmtId="41" fontId="2" fillId="0" borderId="1" xfId="0" applyNumberFormat="1" applyFont="1" applyFill="1" applyBorder="1" applyAlignment="1">
      <alignment horizontal="center"/>
    </xf>
    <xf numFmtId="41" fontId="4" fillId="0" borderId="0" xfId="0" applyNumberFormat="1" applyFont="1" applyFill="1"/>
    <xf numFmtId="41" fontId="3" fillId="0" borderId="2" xfId="0" applyNumberFormat="1" applyFont="1" applyFill="1" applyBorder="1"/>
    <xf numFmtId="41" fontId="3" fillId="0" borderId="2" xfId="0" applyNumberFormat="1" applyFont="1" applyFill="1" applyBorder="1" applyAlignment="1">
      <alignment horizontal="center"/>
    </xf>
    <xf numFmtId="41" fontId="14" fillId="0" borderId="2" xfId="0" applyNumberFormat="1" applyFont="1" applyFill="1" applyBorder="1" applyAlignment="1"/>
    <xf numFmtId="41" fontId="2" fillId="0" borderId="0" xfId="0" applyNumberFormat="1" applyFont="1" applyFill="1" applyAlignment="1">
      <alignment horizontal="right"/>
    </xf>
    <xf numFmtId="41" fontId="2" fillId="0" borderId="5" xfId="0" applyNumberFormat="1" applyFont="1" applyFill="1" applyBorder="1"/>
    <xf numFmtId="41" fontId="2" fillId="0" borderId="6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vertical="top"/>
    </xf>
    <xf numFmtId="41" fontId="2" fillId="0" borderId="7" xfId="0" applyNumberFormat="1" applyFont="1" applyFill="1" applyBorder="1"/>
    <xf numFmtId="41" fontId="2" fillId="0" borderId="11" xfId="0" applyNumberFormat="1" applyFont="1" applyFill="1" applyBorder="1" applyAlignment="1">
      <alignment horizontal="right"/>
    </xf>
    <xf numFmtId="0" fontId="15" fillId="0" borderId="0" xfId="0" applyFont="1" applyFill="1" applyAlignment="1"/>
    <xf numFmtId="41" fontId="2" fillId="0" borderId="8" xfId="0" applyNumberFormat="1" applyFont="1" applyFill="1" applyBorder="1"/>
    <xf numFmtId="41" fontId="2" fillId="0" borderId="9" xfId="0" applyNumberFormat="1" applyFont="1" applyFill="1" applyBorder="1"/>
    <xf numFmtId="41" fontId="2" fillId="0" borderId="10" xfId="0" applyNumberFormat="1" applyFont="1" applyFill="1" applyBorder="1"/>
    <xf numFmtId="41" fontId="5" fillId="0" borderId="0" xfId="0" applyNumberFormat="1" applyFont="1" applyFill="1"/>
    <xf numFmtId="37" fontId="1" fillId="0" borderId="0" xfId="0" applyNumberFormat="1" applyFont="1" applyFill="1" applyAlignment="1"/>
    <xf numFmtId="41" fontId="1" fillId="0" borderId="0" xfId="0" applyNumberFormat="1" applyFont="1" applyFill="1"/>
    <xf numFmtId="41" fontId="2" fillId="0" borderId="0" xfId="0" applyNumberFormat="1" applyFont="1" applyFill="1" applyBorder="1"/>
    <xf numFmtId="41" fontId="14" fillId="0" borderId="0" xfId="0" applyNumberFormat="1" applyFont="1" applyFill="1" applyAlignment="1">
      <alignment vertical="top"/>
    </xf>
    <xf numFmtId="41" fontId="14" fillId="0" borderId="0" xfId="0" applyNumberFormat="1" applyFont="1" applyFill="1" applyAlignment="1">
      <alignment vertical="top" wrapText="1"/>
    </xf>
    <xf numFmtId="41" fontId="3" fillId="0" borderId="1" xfId="0" applyNumberFormat="1" applyFont="1" applyFill="1" applyBorder="1"/>
    <xf numFmtId="41" fontId="20" fillId="0" borderId="2" xfId="0" applyNumberFormat="1" applyFont="1" applyFill="1" applyBorder="1"/>
    <xf numFmtId="41" fontId="2" fillId="2" borderId="0" xfId="0" applyNumberFormat="1" applyFont="1" applyFill="1"/>
    <xf numFmtId="37" fontId="1" fillId="2" borderId="0" xfId="0" applyNumberFormat="1" applyFont="1" applyFill="1" applyAlignment="1">
      <alignment horizontal="right"/>
    </xf>
    <xf numFmtId="41" fontId="3" fillId="3" borderId="0" xfId="0" applyNumberFormat="1" applyFont="1" applyFill="1"/>
    <xf numFmtId="41" fontId="4" fillId="3" borderId="1" xfId="0" applyNumberFormat="1" applyFont="1" applyFill="1" applyBorder="1"/>
    <xf numFmtId="41" fontId="3" fillId="3" borderId="2" xfId="0" applyNumberFormat="1" applyFont="1" applyFill="1" applyBorder="1"/>
    <xf numFmtId="41" fontId="13" fillId="0" borderId="0" xfId="0" applyNumberFormat="1" applyFont="1" applyFill="1" applyBorder="1" applyAlignment="1"/>
    <xf numFmtId="37" fontId="5" fillId="0" borderId="0" xfId="0" applyNumberFormat="1" applyFont="1" applyFill="1"/>
    <xf numFmtId="41" fontId="3" fillId="4" borderId="0" xfId="0" applyNumberFormat="1" applyFont="1" applyFill="1"/>
    <xf numFmtId="41" fontId="4" fillId="4" borderId="1" xfId="0" applyNumberFormat="1" applyFont="1" applyFill="1" applyBorder="1"/>
    <xf numFmtId="41" fontId="3" fillId="4" borderId="2" xfId="0" applyNumberFormat="1" applyFont="1" applyFill="1" applyBorder="1"/>
    <xf numFmtId="41" fontId="21" fillId="0" borderId="5" xfId="0" applyNumberFormat="1" applyFont="1" applyFill="1" applyBorder="1"/>
    <xf numFmtId="37" fontId="22" fillId="0" borderId="0" xfId="0" applyNumberFormat="1" applyFont="1" applyFill="1" applyAlignment="1">
      <alignment horizontal="left"/>
    </xf>
    <xf numFmtId="37" fontId="22" fillId="0" borderId="0" xfId="0" applyNumberFormat="1" applyFont="1" applyFill="1" applyAlignment="1"/>
    <xf numFmtId="41" fontId="21" fillId="0" borderId="6" xfId="0" applyNumberFormat="1" applyFont="1" applyFill="1" applyBorder="1" applyAlignment="1">
      <alignment horizontal="right"/>
    </xf>
    <xf numFmtId="41" fontId="21" fillId="0" borderId="7" xfId="0" applyNumberFormat="1" applyFont="1" applyFill="1" applyBorder="1"/>
    <xf numFmtId="41" fontId="21" fillId="0" borderId="0" xfId="0" applyNumberFormat="1" applyFont="1" applyFill="1" applyAlignment="1">
      <alignment horizontal="right"/>
    </xf>
    <xf numFmtId="41" fontId="21" fillId="0" borderId="10" xfId="0" applyNumberFormat="1" applyFont="1" applyFill="1" applyBorder="1"/>
    <xf numFmtId="41" fontId="21" fillId="0" borderId="9" xfId="0" applyNumberFormat="1" applyFont="1" applyFill="1" applyBorder="1"/>
    <xf numFmtId="41" fontId="21" fillId="0" borderId="0" xfId="0" applyNumberFormat="1" applyFont="1" applyFill="1"/>
    <xf numFmtId="41" fontId="21" fillId="0" borderId="1" xfId="0" applyNumberFormat="1" applyFont="1" applyFill="1" applyBorder="1"/>
    <xf numFmtId="41" fontId="23" fillId="0" borderId="0" xfId="0" applyNumberFormat="1" applyFont="1" applyFill="1"/>
    <xf numFmtId="41" fontId="21" fillId="0" borderId="11" xfId="0" applyNumberFormat="1" applyFont="1" applyFill="1" applyBorder="1" applyAlignment="1">
      <alignment horizontal="right"/>
    </xf>
    <xf numFmtId="41" fontId="21" fillId="0" borderId="0" xfId="0" applyNumberFormat="1" applyFont="1" applyFill="1" applyBorder="1"/>
    <xf numFmtId="41" fontId="21" fillId="2" borderId="0" xfId="0" applyNumberFormat="1" applyFont="1" applyFill="1"/>
    <xf numFmtId="41" fontId="21" fillId="0" borderId="1" xfId="0" applyNumberFormat="1" applyFont="1" applyFill="1" applyBorder="1" applyAlignment="1">
      <alignment horizontal="center"/>
    </xf>
    <xf numFmtId="41" fontId="23" fillId="0" borderId="2" xfId="0" applyNumberFormat="1" applyFont="1" applyFill="1" applyBorder="1"/>
    <xf numFmtId="41" fontId="23" fillId="0" borderId="1" xfId="0" applyNumberFormat="1" applyFont="1" applyFill="1" applyBorder="1"/>
    <xf numFmtId="0" fontId="9" fillId="0" borderId="0" xfId="0" applyFont="1" applyFill="1" applyAlignment="1">
      <alignment horizontal="center"/>
    </xf>
    <xf numFmtId="0" fontId="9" fillId="0" borderId="0" xfId="1" applyFont="1" applyFill="1" applyAlignment="1">
      <alignment horizontal="centerContinuous"/>
    </xf>
    <xf numFmtId="41" fontId="9" fillId="0" borderId="0" xfId="1" applyNumberFormat="1" applyFont="1" applyFill="1" applyAlignment="1">
      <alignment horizontal="centerContinuous"/>
    </xf>
    <xf numFmtId="0" fontId="9" fillId="0" borderId="0" xfId="0" applyFont="1" applyFill="1"/>
    <xf numFmtId="0" fontId="6" fillId="0" borderId="0" xfId="1" applyFont="1" applyFill="1" applyBorder="1"/>
    <xf numFmtId="41" fontId="8" fillId="0" borderId="0" xfId="1" applyNumberFormat="1" applyFont="1" applyFill="1" applyBorder="1"/>
    <xf numFmtId="0" fontId="0" fillId="0" borderId="0" xfId="0" applyFill="1"/>
    <xf numFmtId="0" fontId="9" fillId="0" borderId="12" xfId="1" applyFont="1" applyFill="1" applyBorder="1"/>
    <xf numFmtId="41" fontId="9" fillId="0" borderId="12" xfId="1" applyNumberFormat="1" applyFont="1" applyFill="1" applyBorder="1" applyAlignment="1">
      <alignment horizontal="center"/>
    </xf>
    <xf numFmtId="41" fontId="0" fillId="0" borderId="0" xfId="0" applyNumberFormat="1" applyFill="1"/>
    <xf numFmtId="0" fontId="6" fillId="0" borderId="0" xfId="0" applyFont="1" applyFill="1"/>
    <xf numFmtId="41" fontId="16" fillId="0" borderId="0" xfId="0" applyNumberFormat="1" applyFont="1" applyFill="1"/>
    <xf numFmtId="37" fontId="17" fillId="0" borderId="0" xfId="0" applyNumberFormat="1" applyFont="1" applyFill="1" applyAlignment="1"/>
    <xf numFmtId="41" fontId="18" fillId="0" borderId="0" xfId="0" applyNumberFormat="1" applyFont="1" applyFill="1" applyBorder="1"/>
    <xf numFmtId="0" fontId="0" fillId="0" borderId="0" xfId="0" applyFill="1" applyAlignment="1">
      <alignment wrapText="1"/>
    </xf>
    <xf numFmtId="0" fontId="9" fillId="0" borderId="0" xfId="0" applyFont="1" applyFill="1" applyAlignment="1">
      <alignment wrapText="1"/>
    </xf>
    <xf numFmtId="41" fontId="19" fillId="0" borderId="12" xfId="0" applyNumberFormat="1" applyFont="1" applyFill="1" applyBorder="1" applyAlignment="1">
      <alignment horizontal="center" wrapText="1"/>
    </xf>
    <xf numFmtId="0" fontId="9" fillId="0" borderId="12" xfId="0" applyFont="1" applyFill="1" applyBorder="1" applyAlignment="1">
      <alignment wrapText="1"/>
    </xf>
    <xf numFmtId="37" fontId="1" fillId="0" borderId="0" xfId="0" applyNumberFormat="1" applyFont="1" applyFill="1" applyBorder="1" applyAlignment="1">
      <alignment horizontal="left" wrapText="1"/>
    </xf>
    <xf numFmtId="41" fontId="6" fillId="0" borderId="0" xfId="0" applyNumberFormat="1" applyFont="1" applyFill="1"/>
    <xf numFmtId="41" fontId="0" fillId="0" borderId="1" xfId="0" applyNumberFormat="1" applyFill="1" applyBorder="1"/>
    <xf numFmtId="0" fontId="6" fillId="0" borderId="1" xfId="0" applyFont="1" applyFill="1" applyBorder="1"/>
    <xf numFmtId="41" fontId="6" fillId="0" borderId="1" xfId="0" applyNumberFormat="1" applyFont="1" applyFill="1" applyBorder="1"/>
    <xf numFmtId="41" fontId="0" fillId="0" borderId="3" xfId="0" applyNumberFormat="1" applyFill="1" applyBorder="1"/>
    <xf numFmtId="0" fontId="0" fillId="0" borderId="13" xfId="0" applyFill="1" applyBorder="1"/>
    <xf numFmtId="41" fontId="0" fillId="0" borderId="13" xfId="0" applyNumberFormat="1" applyFill="1" applyBorder="1"/>
    <xf numFmtId="0" fontId="6" fillId="0" borderId="13" xfId="0" applyFont="1" applyFill="1" applyBorder="1"/>
    <xf numFmtId="37" fontId="1" fillId="0" borderId="13" xfId="0" applyNumberFormat="1" applyFont="1" applyFill="1" applyBorder="1" applyAlignment="1">
      <alignment horizontal="left"/>
    </xf>
    <xf numFmtId="0" fontId="9" fillId="0" borderId="14" xfId="0" applyFont="1" applyFill="1" applyBorder="1" applyAlignment="1">
      <alignment horizontal="center"/>
    </xf>
    <xf numFmtId="0" fontId="9" fillId="0" borderId="14" xfId="1" applyFont="1" applyFill="1" applyBorder="1" applyAlignment="1">
      <alignment horizontal="centerContinuous"/>
    </xf>
    <xf numFmtId="41" fontId="9" fillId="0" borderId="14" xfId="1" applyNumberFormat="1" applyFont="1" applyFill="1" applyBorder="1" applyAlignment="1">
      <alignment horizontal="centerContinuous"/>
    </xf>
    <xf numFmtId="0" fontId="9" fillId="0" borderId="14" xfId="0" applyFont="1" applyFill="1" applyBorder="1"/>
    <xf numFmtId="41" fontId="2" fillId="0" borderId="0" xfId="0" applyNumberFormat="1" applyFont="1" applyFill="1" applyAlignment="1">
      <alignment horizontal="center"/>
    </xf>
    <xf numFmtId="41" fontId="2" fillId="0" borderId="1" xfId="0" applyNumberFormat="1" applyFont="1" applyFill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4"/>
  <sheetViews>
    <sheetView zoomScaleNormal="100" workbookViewId="0">
      <selection activeCell="K39" sqref="K39:N40"/>
    </sheetView>
  </sheetViews>
  <sheetFormatPr defaultColWidth="9.140625" defaultRowHeight="15" x14ac:dyDescent="0.25"/>
  <cols>
    <col min="1" max="1" width="5.42578125" style="14" customWidth="1"/>
    <col min="2" max="2" width="4.140625" style="15" customWidth="1"/>
    <col min="3" max="3" width="7.28515625" style="24" customWidth="1"/>
    <col min="4" max="4" width="33" style="24" customWidth="1"/>
    <col min="5" max="5" width="8.85546875" style="14" customWidth="1"/>
    <col min="6" max="6" width="9.140625" style="14"/>
    <col min="7" max="7" width="2" style="14" customWidth="1"/>
    <col min="8" max="8" width="3.7109375" style="19" customWidth="1"/>
    <col min="9" max="9" width="11" style="20" bestFit="1" customWidth="1"/>
    <col min="10" max="10" width="10" style="20" bestFit="1" customWidth="1"/>
    <col min="11" max="11" width="3.7109375" style="21" customWidth="1"/>
    <col min="12" max="12" width="3.7109375" style="22" customWidth="1"/>
    <col min="13" max="14" width="10" style="20" bestFit="1" customWidth="1"/>
    <col min="15" max="15" width="3.7109375" style="21" customWidth="1"/>
    <col min="16" max="16" width="3.7109375" style="19" customWidth="1"/>
    <col min="17" max="17" width="9.85546875" style="20" customWidth="1"/>
    <col min="18" max="18" width="11" style="20" customWidth="1"/>
    <col min="19" max="19" width="4.140625" style="21" customWidth="1"/>
    <col min="20" max="20" width="4.140625" style="22" customWidth="1"/>
    <col min="21" max="22" width="10" style="20" bestFit="1" customWidth="1"/>
    <col min="23" max="23" width="3.7109375" style="21" customWidth="1"/>
    <col min="24" max="16384" width="9.140625" style="14"/>
  </cols>
  <sheetData>
    <row r="1" spans="1:27" ht="18.75" x14ac:dyDescent="0.3">
      <c r="C1" s="16" t="s">
        <v>60</v>
      </c>
      <c r="D1" s="17"/>
      <c r="E1" s="18"/>
      <c r="F1" s="18"/>
    </row>
    <row r="2" spans="1:27" x14ac:dyDescent="0.25">
      <c r="C2" s="23"/>
      <c r="G2" s="55"/>
      <c r="H2" s="14"/>
      <c r="I2" s="14"/>
      <c r="J2" s="14"/>
      <c r="K2" s="25"/>
      <c r="M2" s="20" t="s">
        <v>72</v>
      </c>
      <c r="P2" s="22"/>
      <c r="Q2" s="20" t="s">
        <v>18</v>
      </c>
    </row>
    <row r="3" spans="1:27" s="30" customFormat="1" ht="15" customHeight="1" x14ac:dyDescent="0.25">
      <c r="A3" s="26" t="s">
        <v>7</v>
      </c>
      <c r="B3" s="27"/>
      <c r="C3" s="28" t="s">
        <v>8</v>
      </c>
      <c r="D3" s="28"/>
      <c r="E3" s="29" t="s">
        <v>5</v>
      </c>
      <c r="F3" s="29" t="s">
        <v>6</v>
      </c>
      <c r="G3" s="56"/>
      <c r="H3" s="19"/>
      <c r="I3" s="26" t="s">
        <v>0</v>
      </c>
      <c r="J3" s="26"/>
      <c r="K3" s="25"/>
      <c r="L3" s="22"/>
      <c r="M3" s="20" t="s">
        <v>73</v>
      </c>
      <c r="N3" s="20"/>
      <c r="O3" s="21"/>
      <c r="P3" s="22"/>
      <c r="Q3" s="20" t="s">
        <v>61</v>
      </c>
      <c r="R3" s="20"/>
      <c r="S3" s="21"/>
      <c r="T3" s="22"/>
      <c r="U3" s="20" t="s">
        <v>62</v>
      </c>
      <c r="V3" s="20"/>
      <c r="W3" s="21"/>
    </row>
    <row r="4" spans="1:27" x14ac:dyDescent="0.25">
      <c r="A4" s="31"/>
      <c r="B4" s="32"/>
      <c r="C4" s="33"/>
      <c r="D4" s="33"/>
      <c r="E4" s="31"/>
      <c r="F4" s="31"/>
      <c r="G4" s="57"/>
      <c r="H4" s="22" t="s">
        <v>1</v>
      </c>
      <c r="I4" s="34">
        <v>31000</v>
      </c>
      <c r="J4" s="35"/>
      <c r="K4" s="25"/>
      <c r="L4" s="22" t="s">
        <v>1</v>
      </c>
      <c r="M4" s="36">
        <v>27500</v>
      </c>
      <c r="N4" s="35"/>
      <c r="P4" s="22" t="s">
        <v>1</v>
      </c>
      <c r="Q4" s="36">
        <v>27000</v>
      </c>
      <c r="R4" s="35"/>
      <c r="S4" s="25" t="s">
        <v>1</v>
      </c>
      <c r="T4" s="22" t="s">
        <v>1</v>
      </c>
      <c r="U4" s="36">
        <v>18000</v>
      </c>
      <c r="V4" s="35"/>
      <c r="W4" s="25"/>
    </row>
    <row r="5" spans="1:27" ht="12.75" x14ac:dyDescent="0.2">
      <c r="A5" s="14" t="s">
        <v>68</v>
      </c>
      <c r="B5" s="37">
        <v>1</v>
      </c>
      <c r="C5" s="38" t="s">
        <v>69</v>
      </c>
      <c r="D5" s="38"/>
      <c r="G5" s="55"/>
      <c r="H5" s="19">
        <v>2</v>
      </c>
      <c r="I5" s="34">
        <f>E7</f>
        <v>27000</v>
      </c>
      <c r="J5" s="39">
        <f>F14</f>
        <v>15000</v>
      </c>
      <c r="K5" s="25">
        <v>4</v>
      </c>
      <c r="L5" s="22">
        <v>3</v>
      </c>
      <c r="M5" s="34">
        <f>E10</f>
        <v>303500</v>
      </c>
      <c r="N5" s="39">
        <f>F20</f>
        <v>296960</v>
      </c>
      <c r="O5" s="21">
        <v>5</v>
      </c>
      <c r="Q5" s="40"/>
      <c r="R5" s="39">
        <f>F8</f>
        <v>27000</v>
      </c>
      <c r="S5" s="25">
        <v>2</v>
      </c>
      <c r="T5" s="19"/>
      <c r="U5" s="34"/>
      <c r="V5" s="39"/>
    </row>
    <row r="6" spans="1:27" ht="12.75" x14ac:dyDescent="0.2">
      <c r="B6" s="37"/>
      <c r="C6" s="38"/>
      <c r="D6" s="41"/>
      <c r="G6" s="55"/>
      <c r="H6" s="19">
        <v>7</v>
      </c>
      <c r="I6" s="34">
        <f>E26</f>
        <v>360000</v>
      </c>
      <c r="J6" s="39"/>
      <c r="K6" s="25"/>
      <c r="M6" s="34"/>
      <c r="N6" s="39"/>
      <c r="P6" s="22">
        <v>5</v>
      </c>
      <c r="Q6" s="34">
        <f>E16</f>
        <v>371200</v>
      </c>
      <c r="R6" s="39"/>
      <c r="S6" s="25"/>
      <c r="U6" s="34"/>
      <c r="V6" s="39"/>
      <c r="W6" s="25"/>
    </row>
    <row r="7" spans="1:27" ht="12.75" x14ac:dyDescent="0.2">
      <c r="B7" s="37">
        <v>2</v>
      </c>
      <c r="C7" s="38" t="s">
        <v>4</v>
      </c>
      <c r="D7" s="38"/>
      <c r="E7" s="14">
        <v>27000</v>
      </c>
      <c r="G7" s="55"/>
      <c r="I7" s="34"/>
      <c r="J7" s="39">
        <f>F30</f>
        <v>355700</v>
      </c>
      <c r="K7" s="21">
        <v>9</v>
      </c>
      <c r="M7" s="34"/>
      <c r="N7" s="39"/>
      <c r="P7" s="22"/>
      <c r="Q7" s="34"/>
      <c r="R7" s="39">
        <f>F27</f>
        <v>360000</v>
      </c>
      <c r="S7" s="25">
        <v>7</v>
      </c>
      <c r="U7" s="34"/>
      <c r="V7" s="39"/>
      <c r="W7" s="25"/>
    </row>
    <row r="8" spans="1:27" ht="12.75" x14ac:dyDescent="0.2">
      <c r="B8" s="37"/>
      <c r="C8" s="38"/>
      <c r="D8" s="38" t="s">
        <v>70</v>
      </c>
      <c r="F8" s="14">
        <f>E7</f>
        <v>27000</v>
      </c>
      <c r="G8" s="55"/>
      <c r="I8" s="34"/>
      <c r="J8" s="39"/>
      <c r="M8" s="34"/>
      <c r="N8" s="39"/>
      <c r="P8" s="22"/>
      <c r="Q8" s="34"/>
      <c r="R8" s="39"/>
      <c r="S8" s="25"/>
      <c r="U8" s="34"/>
      <c r="V8" s="39"/>
      <c r="W8" s="25"/>
    </row>
    <row r="9" spans="1:27" ht="12.75" x14ac:dyDescent="0.2">
      <c r="B9" s="37"/>
      <c r="C9" s="38"/>
      <c r="D9" s="38"/>
      <c r="G9" s="55"/>
      <c r="I9" s="34"/>
      <c r="J9" s="39"/>
      <c r="K9" s="25"/>
      <c r="M9" s="34"/>
      <c r="N9" s="42"/>
      <c r="P9" s="22"/>
      <c r="Q9" s="34"/>
      <c r="R9" s="39"/>
      <c r="S9" s="25"/>
      <c r="U9" s="34"/>
      <c r="V9" s="39"/>
      <c r="W9" s="25"/>
    </row>
    <row r="10" spans="1:27" ht="12.75" x14ac:dyDescent="0.2">
      <c r="B10" s="37">
        <v>3</v>
      </c>
      <c r="C10" s="38" t="s">
        <v>71</v>
      </c>
      <c r="D10" s="38"/>
      <c r="E10" s="14">
        <v>303500</v>
      </c>
      <c r="G10" s="55"/>
      <c r="I10" s="43">
        <f>SUM(I4:I9)-SUM(J4:J9)</f>
        <v>47300</v>
      </c>
      <c r="J10" s="44"/>
      <c r="K10" s="25"/>
      <c r="M10" s="43">
        <f>SUM(M4:M9)-SUM(N4:N9)</f>
        <v>34040</v>
      </c>
      <c r="N10" s="44"/>
      <c r="O10" s="25"/>
      <c r="P10" s="22"/>
      <c r="Q10" s="43">
        <f>SUM(Q4:Q9)-SUM(R4:R9)</f>
        <v>11200</v>
      </c>
      <c r="R10" s="44"/>
      <c r="S10" s="25"/>
      <c r="U10" s="43">
        <f>SUM(U4:U9)-SUM(V4:V9)</f>
        <v>18000</v>
      </c>
      <c r="V10" s="44"/>
      <c r="W10" s="25"/>
    </row>
    <row r="11" spans="1:27" ht="12.75" x14ac:dyDescent="0.2">
      <c r="B11" s="37"/>
      <c r="C11" s="38"/>
      <c r="D11" s="38" t="s">
        <v>45</v>
      </c>
      <c r="F11" s="14">
        <f>E10</f>
        <v>303500</v>
      </c>
      <c r="G11" s="55"/>
    </row>
    <row r="12" spans="1:27" ht="12.75" x14ac:dyDescent="0.2">
      <c r="B12" s="37"/>
      <c r="C12" s="38"/>
      <c r="D12" s="38"/>
      <c r="G12" s="55"/>
    </row>
    <row r="13" spans="1:27" ht="12.75" x14ac:dyDescent="0.2">
      <c r="B13" s="37">
        <v>4</v>
      </c>
      <c r="C13" s="38" t="s">
        <v>78</v>
      </c>
      <c r="D13" s="38"/>
      <c r="E13" s="14">
        <v>15000</v>
      </c>
      <c r="G13" s="55"/>
      <c r="H13" s="22"/>
      <c r="L13" s="19"/>
      <c r="M13" s="20" t="s">
        <v>21</v>
      </c>
      <c r="P13" s="22"/>
      <c r="T13" s="19"/>
      <c r="U13" s="20" t="s">
        <v>21</v>
      </c>
    </row>
    <row r="14" spans="1:27" ht="12.75" x14ac:dyDescent="0.2">
      <c r="B14" s="37"/>
      <c r="C14" s="38"/>
      <c r="D14" s="38" t="s">
        <v>4</v>
      </c>
      <c r="F14" s="14">
        <f>E13</f>
        <v>15000</v>
      </c>
      <c r="G14" s="55"/>
      <c r="H14" s="22"/>
      <c r="I14" s="20" t="s">
        <v>63</v>
      </c>
      <c r="L14" s="19"/>
      <c r="M14" s="20" t="s">
        <v>63</v>
      </c>
      <c r="P14" s="22"/>
      <c r="Q14" s="20" t="s">
        <v>64</v>
      </c>
      <c r="T14" s="19"/>
      <c r="U14" s="20" t="s">
        <v>64</v>
      </c>
    </row>
    <row r="15" spans="1:27" ht="12.75" x14ac:dyDescent="0.2">
      <c r="B15" s="37"/>
      <c r="C15" s="38"/>
      <c r="D15" s="38"/>
      <c r="G15" s="55"/>
      <c r="H15" s="22" t="s">
        <v>1</v>
      </c>
      <c r="I15" s="36">
        <v>84000</v>
      </c>
      <c r="J15" s="35"/>
      <c r="L15" s="19"/>
      <c r="M15" s="36"/>
      <c r="N15" s="35">
        <v>33000</v>
      </c>
      <c r="O15" s="25" t="s">
        <v>1</v>
      </c>
      <c r="P15" s="22" t="s">
        <v>1</v>
      </c>
      <c r="Q15" s="36">
        <v>46000</v>
      </c>
      <c r="R15" s="35"/>
      <c r="S15" s="25"/>
      <c r="T15" s="19"/>
      <c r="U15" s="36"/>
      <c r="V15" s="35">
        <v>25000</v>
      </c>
      <c r="W15" s="25" t="s">
        <v>1</v>
      </c>
      <c r="AA15" s="21"/>
    </row>
    <row r="16" spans="1:27" ht="12.75" x14ac:dyDescent="0.2">
      <c r="B16" s="37">
        <v>5</v>
      </c>
      <c r="C16" s="38" t="s">
        <v>70</v>
      </c>
      <c r="D16" s="38"/>
      <c r="E16" s="14">
        <v>371200</v>
      </c>
      <c r="G16" s="55"/>
      <c r="H16" s="22"/>
      <c r="I16" s="34"/>
      <c r="J16" s="39"/>
      <c r="L16" s="19"/>
      <c r="M16" s="34"/>
      <c r="N16" s="39">
        <f>F33</f>
        <v>11000</v>
      </c>
      <c r="O16" s="25">
        <v>9</v>
      </c>
      <c r="P16" s="22"/>
      <c r="Q16" s="34"/>
      <c r="R16" s="39"/>
      <c r="S16" s="25"/>
      <c r="T16" s="19"/>
      <c r="U16" s="34"/>
      <c r="V16" s="39">
        <f>F34</f>
        <v>4600</v>
      </c>
      <c r="W16" s="25">
        <v>9</v>
      </c>
      <c r="AA16" s="21"/>
    </row>
    <row r="17" spans="2:27" ht="12.75" x14ac:dyDescent="0.2">
      <c r="B17" s="37"/>
      <c r="C17" s="38"/>
      <c r="D17" s="38" t="s">
        <v>42</v>
      </c>
      <c r="F17" s="14">
        <v>371200</v>
      </c>
      <c r="G17" s="55"/>
      <c r="H17" s="22"/>
      <c r="I17" s="34"/>
      <c r="J17" s="39"/>
      <c r="L17" s="19"/>
      <c r="M17" s="34"/>
      <c r="N17" s="39"/>
      <c r="O17" s="25"/>
      <c r="P17" s="22"/>
      <c r="Q17" s="34"/>
      <c r="R17" s="39"/>
      <c r="S17" s="25"/>
      <c r="T17" s="19"/>
      <c r="U17" s="34"/>
      <c r="V17" s="39"/>
      <c r="W17" s="25"/>
      <c r="AA17" s="25"/>
    </row>
    <row r="18" spans="2:27" ht="12.75" x14ac:dyDescent="0.2">
      <c r="B18" s="37"/>
      <c r="C18" s="14"/>
      <c r="D18" s="38"/>
      <c r="G18" s="55"/>
      <c r="H18" s="22"/>
      <c r="I18" s="34"/>
      <c r="J18" s="39"/>
      <c r="L18" s="19"/>
      <c r="M18" s="34"/>
      <c r="N18" s="39"/>
      <c r="O18" s="25"/>
      <c r="P18" s="22"/>
      <c r="Q18" s="34"/>
      <c r="R18" s="39"/>
      <c r="S18" s="25"/>
      <c r="T18" s="19"/>
      <c r="U18" s="34"/>
      <c r="V18" s="39"/>
      <c r="W18" s="25"/>
      <c r="AA18" s="21"/>
    </row>
    <row r="19" spans="2:27" ht="12.75" x14ac:dyDescent="0.2">
      <c r="B19" s="37"/>
      <c r="C19" s="38" t="s">
        <v>46</v>
      </c>
      <c r="D19" s="38"/>
      <c r="E19" s="14">
        <v>296960</v>
      </c>
      <c r="G19" s="55"/>
      <c r="H19" s="22"/>
      <c r="I19" s="43">
        <f>SUM(I15:I18)-SUM(J15:J18)</f>
        <v>84000</v>
      </c>
      <c r="J19" s="44"/>
      <c r="L19" s="19"/>
      <c r="M19" s="43"/>
      <c r="N19" s="44">
        <f>SUM(N15:N18)-SUM(M15:M18)</f>
        <v>44000</v>
      </c>
      <c r="O19" s="25"/>
      <c r="P19" s="22"/>
      <c r="Q19" s="43">
        <f>SUM(Q15:Q18)-SUM(R15:R18)</f>
        <v>46000</v>
      </c>
      <c r="R19" s="44"/>
      <c r="S19" s="25"/>
      <c r="T19" s="19"/>
      <c r="U19" s="43"/>
      <c r="V19" s="44">
        <f>SUM(V15:V18)-SUM(U15:U18)</f>
        <v>29600</v>
      </c>
      <c r="W19" s="25"/>
      <c r="AA19" s="25"/>
    </row>
    <row r="20" spans="2:27" ht="12.75" x14ac:dyDescent="0.2">
      <c r="B20" s="37"/>
      <c r="C20" s="38"/>
      <c r="D20" s="38" t="s">
        <v>44</v>
      </c>
      <c r="F20" s="14">
        <v>296960</v>
      </c>
      <c r="G20" s="55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AA20" s="25"/>
    </row>
    <row r="21" spans="2:27" ht="12.75" x14ac:dyDescent="0.2">
      <c r="B21" s="37"/>
      <c r="C21" s="38"/>
      <c r="D21" s="38"/>
      <c r="G21" s="55"/>
      <c r="H21" s="45"/>
      <c r="K21" s="45"/>
      <c r="L21" s="45"/>
      <c r="M21" s="20" t="s">
        <v>66</v>
      </c>
      <c r="P21" s="14"/>
      <c r="Q21" s="20" t="s">
        <v>157</v>
      </c>
      <c r="R21" s="14"/>
      <c r="S21" s="14"/>
      <c r="T21" s="14"/>
      <c r="U21" s="14"/>
      <c r="V21" s="14"/>
      <c r="W21" s="14"/>
      <c r="AA21" s="25"/>
    </row>
    <row r="22" spans="2:27" ht="12.75" x14ac:dyDescent="0.2">
      <c r="B22" s="37">
        <v>6</v>
      </c>
      <c r="C22" s="38" t="s">
        <v>46</v>
      </c>
      <c r="D22" s="14"/>
      <c r="E22" s="14">
        <f>15000+16000+17500</f>
        <v>48500</v>
      </c>
      <c r="G22" s="55"/>
      <c r="H22" s="22"/>
      <c r="I22" s="20" t="s">
        <v>3</v>
      </c>
      <c r="L22" s="45"/>
      <c r="M22" s="20" t="s">
        <v>65</v>
      </c>
      <c r="P22" s="46"/>
      <c r="Q22" s="20" t="s">
        <v>59</v>
      </c>
      <c r="T22" s="14"/>
      <c r="U22" s="14"/>
      <c r="V22" s="14"/>
      <c r="W22" s="14"/>
      <c r="AA22" s="25"/>
    </row>
    <row r="23" spans="2:27" ht="12.75" x14ac:dyDescent="0.2">
      <c r="B23" s="37"/>
      <c r="C23" s="38" t="s">
        <v>48</v>
      </c>
      <c r="D23" s="38"/>
      <c r="E23" s="14">
        <v>9200</v>
      </c>
      <c r="G23" s="55"/>
      <c r="H23" s="22"/>
      <c r="I23" s="36"/>
      <c r="J23" s="35">
        <v>19000</v>
      </c>
      <c r="K23" s="21" t="s">
        <v>1</v>
      </c>
      <c r="L23" s="45"/>
      <c r="M23" s="36"/>
      <c r="N23" s="35">
        <v>30000</v>
      </c>
      <c r="O23" s="21" t="s">
        <v>1</v>
      </c>
      <c r="P23" s="46"/>
      <c r="Q23" s="36"/>
      <c r="R23" s="35">
        <v>126500</v>
      </c>
      <c r="S23" s="21" t="s">
        <v>1</v>
      </c>
      <c r="T23" s="14"/>
      <c r="U23" s="14"/>
      <c r="V23" s="14"/>
      <c r="W23" s="14"/>
      <c r="AA23" s="25"/>
    </row>
    <row r="24" spans="2:27" ht="12.75" x14ac:dyDescent="0.2">
      <c r="B24" s="37"/>
      <c r="C24" s="14"/>
      <c r="D24" s="38" t="s">
        <v>45</v>
      </c>
      <c r="F24" s="14">
        <f>E22+E23</f>
        <v>57700</v>
      </c>
      <c r="G24" s="55"/>
      <c r="I24" s="34"/>
      <c r="J24" s="39">
        <f>F11</f>
        <v>303500</v>
      </c>
      <c r="K24" s="21">
        <v>3</v>
      </c>
      <c r="L24" s="45">
        <v>4</v>
      </c>
      <c r="M24" s="34">
        <f>E13</f>
        <v>15000</v>
      </c>
      <c r="N24" s="39"/>
      <c r="P24" s="46"/>
      <c r="Q24" s="34"/>
      <c r="R24" s="39"/>
      <c r="T24" s="14"/>
      <c r="U24" s="14"/>
      <c r="V24" s="14"/>
      <c r="W24" s="14"/>
    </row>
    <row r="25" spans="2:27" ht="12.75" x14ac:dyDescent="0.2">
      <c r="B25" s="37"/>
      <c r="C25" s="14"/>
      <c r="D25" s="38"/>
      <c r="G25" s="55"/>
      <c r="J25" s="39">
        <f>F24</f>
        <v>57700</v>
      </c>
      <c r="K25" s="21">
        <v>6</v>
      </c>
      <c r="L25" s="45"/>
      <c r="M25" s="34"/>
      <c r="N25" s="39"/>
      <c r="P25" s="46"/>
      <c r="Q25" s="34"/>
      <c r="R25" s="39"/>
      <c r="T25" s="14"/>
      <c r="U25" s="14"/>
      <c r="V25" s="14"/>
      <c r="W25" s="14"/>
    </row>
    <row r="26" spans="2:27" ht="12.75" x14ac:dyDescent="0.2">
      <c r="B26" s="37">
        <v>7</v>
      </c>
      <c r="C26" s="14" t="s">
        <v>4</v>
      </c>
      <c r="D26" s="38"/>
      <c r="E26" s="14">
        <v>360000</v>
      </c>
      <c r="G26" s="55"/>
      <c r="H26" s="22">
        <v>8</v>
      </c>
      <c r="I26" s="34">
        <f>E29</f>
        <v>355700</v>
      </c>
      <c r="J26" s="39"/>
      <c r="L26" s="45"/>
      <c r="M26" s="34"/>
      <c r="N26" s="39"/>
      <c r="P26" s="46"/>
      <c r="Q26" s="34"/>
      <c r="R26" s="39"/>
      <c r="T26" s="14"/>
      <c r="U26" s="14"/>
      <c r="V26" s="14"/>
      <c r="W26" s="14"/>
    </row>
    <row r="27" spans="2:27" ht="12.75" x14ac:dyDescent="0.2">
      <c r="B27" s="37"/>
      <c r="C27" s="38"/>
      <c r="D27" s="38" t="s">
        <v>70</v>
      </c>
      <c r="F27" s="14">
        <v>360000</v>
      </c>
      <c r="G27" s="55"/>
      <c r="H27" s="22"/>
      <c r="I27" s="34"/>
      <c r="J27" s="39"/>
      <c r="L27" s="45"/>
      <c r="M27" s="34"/>
      <c r="N27" s="39"/>
      <c r="P27" s="46"/>
      <c r="Q27" s="34"/>
      <c r="R27" s="39"/>
      <c r="T27" s="14"/>
      <c r="U27" s="14"/>
      <c r="V27" s="14"/>
      <c r="W27" s="14"/>
    </row>
    <row r="28" spans="2:27" ht="12.75" x14ac:dyDescent="0.2">
      <c r="B28" s="37"/>
      <c r="C28" s="38"/>
      <c r="D28" s="38"/>
      <c r="G28" s="55"/>
      <c r="H28" s="47"/>
      <c r="I28" s="43"/>
      <c r="J28" s="44">
        <f>SUM(J23:J27)-SUM(I23:I27)</f>
        <v>24500</v>
      </c>
      <c r="L28" s="45"/>
      <c r="M28" s="43"/>
      <c r="N28" s="44">
        <f>SUM(N23:N27)-SUM(M23:M27)</f>
        <v>15000</v>
      </c>
      <c r="P28" s="46"/>
      <c r="Q28" s="43"/>
      <c r="R28" s="44">
        <f>SUM(R23:R27)-SUM(Q23:Q27)</f>
        <v>126500</v>
      </c>
      <c r="S28" s="14"/>
      <c r="T28" s="14"/>
      <c r="U28" s="14"/>
      <c r="V28" s="14"/>
      <c r="W28" s="14"/>
    </row>
    <row r="29" spans="2:27" ht="12.75" x14ac:dyDescent="0.2">
      <c r="B29" s="37">
        <v>8</v>
      </c>
      <c r="C29" s="38" t="s">
        <v>45</v>
      </c>
      <c r="D29" s="38"/>
      <c r="E29" s="14">
        <v>355700</v>
      </c>
      <c r="G29" s="55"/>
      <c r="P29" s="14"/>
      <c r="Q29" s="14"/>
      <c r="R29" s="14"/>
      <c r="S29" s="14"/>
      <c r="T29" s="14"/>
      <c r="U29" s="14"/>
      <c r="V29" s="14"/>
      <c r="W29" s="14"/>
    </row>
    <row r="30" spans="2:27" ht="12.75" x14ac:dyDescent="0.2">
      <c r="B30" s="37"/>
      <c r="C30" s="38"/>
      <c r="D30" s="38" t="s">
        <v>4</v>
      </c>
      <c r="F30" s="14">
        <f>E29</f>
        <v>355700</v>
      </c>
      <c r="G30" s="55"/>
      <c r="I30" s="48"/>
      <c r="J30" s="48"/>
      <c r="M30" s="48"/>
      <c r="N30" s="48"/>
      <c r="P30" s="46"/>
      <c r="Q30" s="48"/>
      <c r="R30" s="48"/>
      <c r="T30" s="19"/>
      <c r="U30" s="48"/>
      <c r="V30" s="48"/>
    </row>
    <row r="31" spans="2:27" ht="12.75" x14ac:dyDescent="0.2">
      <c r="B31" s="37"/>
      <c r="C31" s="38"/>
      <c r="D31" s="38"/>
      <c r="G31" s="55"/>
      <c r="H31" s="14"/>
      <c r="I31" s="20" t="s">
        <v>32</v>
      </c>
      <c r="J31" s="14"/>
      <c r="L31" s="19"/>
      <c r="M31" s="20" t="s">
        <v>33</v>
      </c>
      <c r="P31" s="22"/>
      <c r="Q31" s="20" t="s">
        <v>33</v>
      </c>
      <c r="U31" s="20" t="s">
        <v>33</v>
      </c>
      <c r="W31" s="14"/>
    </row>
    <row r="32" spans="2:27" ht="12.75" x14ac:dyDescent="0.2">
      <c r="B32" s="37">
        <v>9</v>
      </c>
      <c r="C32" s="38" t="s">
        <v>74</v>
      </c>
      <c r="D32" s="38"/>
      <c r="E32" s="14">
        <f>F33+F34</f>
        <v>15600</v>
      </c>
      <c r="G32" s="55"/>
      <c r="I32" s="20" t="s">
        <v>31</v>
      </c>
      <c r="M32" s="20" t="s">
        <v>34</v>
      </c>
      <c r="P32" s="22"/>
      <c r="Q32" s="20" t="s">
        <v>36</v>
      </c>
      <c r="U32" s="20" t="s">
        <v>37</v>
      </c>
      <c r="W32" s="14"/>
    </row>
    <row r="33" spans="2:31" ht="12.75" x14ac:dyDescent="0.2">
      <c r="B33" s="37"/>
      <c r="C33" s="38"/>
      <c r="D33" s="38" t="s">
        <v>75</v>
      </c>
      <c r="F33" s="14">
        <v>11000</v>
      </c>
      <c r="G33" s="55"/>
      <c r="I33" s="36"/>
      <c r="J33" s="35">
        <f>F17</f>
        <v>371200</v>
      </c>
      <c r="K33" s="21">
        <v>5</v>
      </c>
      <c r="L33" s="22">
        <v>5</v>
      </c>
      <c r="M33" s="36">
        <f>E19</f>
        <v>296960</v>
      </c>
      <c r="N33" s="35"/>
      <c r="P33" s="22"/>
      <c r="Q33" s="36"/>
      <c r="R33" s="35"/>
      <c r="S33" s="25"/>
      <c r="U33" s="36"/>
      <c r="V33" s="35"/>
      <c r="W33" s="14"/>
    </row>
    <row r="34" spans="2:31" ht="12.75" x14ac:dyDescent="0.2">
      <c r="B34" s="37"/>
      <c r="C34" s="38"/>
      <c r="D34" s="38" t="s">
        <v>76</v>
      </c>
      <c r="F34" s="14">
        <v>4600</v>
      </c>
      <c r="G34" s="55"/>
      <c r="I34" s="34"/>
      <c r="J34" s="39"/>
      <c r="L34" s="22">
        <v>6</v>
      </c>
      <c r="M34" s="34">
        <f>E22</f>
        <v>48500</v>
      </c>
      <c r="N34" s="39"/>
      <c r="P34" s="22">
        <v>6</v>
      </c>
      <c r="Q34" s="34">
        <f>E23</f>
        <v>9200</v>
      </c>
      <c r="R34" s="39"/>
      <c r="S34" s="25"/>
      <c r="T34" s="22">
        <v>9</v>
      </c>
      <c r="U34" s="34">
        <f>E32</f>
        <v>15600</v>
      </c>
      <c r="V34" s="39"/>
      <c r="W34" s="14"/>
      <c r="AB34" s="19"/>
      <c r="AC34" s="48"/>
      <c r="AD34" s="48"/>
      <c r="AE34" s="21"/>
    </row>
    <row r="35" spans="2:31" ht="12.75" x14ac:dyDescent="0.2">
      <c r="B35" s="37"/>
      <c r="C35" s="38"/>
      <c r="D35" s="38"/>
      <c r="G35" s="55"/>
      <c r="I35" s="34"/>
      <c r="J35" s="39"/>
      <c r="M35" s="34"/>
      <c r="N35" s="39"/>
      <c r="P35" s="22"/>
      <c r="Q35" s="34"/>
      <c r="R35" s="39"/>
      <c r="S35" s="25"/>
      <c r="U35" s="34"/>
      <c r="V35" s="39"/>
      <c r="W35" s="14"/>
    </row>
    <row r="36" spans="2:31" ht="12.75" x14ac:dyDescent="0.2">
      <c r="B36" s="37"/>
      <c r="C36" s="38"/>
      <c r="D36" s="38"/>
      <c r="G36" s="55"/>
      <c r="H36" s="14"/>
      <c r="I36" s="34"/>
      <c r="J36" s="39"/>
      <c r="M36" s="34"/>
      <c r="N36" s="39"/>
      <c r="P36" s="22"/>
      <c r="Q36" s="34"/>
      <c r="R36" s="39"/>
      <c r="S36" s="25"/>
      <c r="U36" s="34"/>
      <c r="V36" s="39"/>
      <c r="W36" s="14"/>
    </row>
    <row r="37" spans="2:31" ht="12.75" x14ac:dyDescent="0.2">
      <c r="B37" s="37"/>
      <c r="C37" s="38"/>
      <c r="D37" s="38"/>
      <c r="G37" s="55"/>
      <c r="H37" s="14"/>
      <c r="I37" s="43"/>
      <c r="J37" s="44">
        <f>SUM(J33:J36)-SUM(I33:I36)</f>
        <v>371200</v>
      </c>
      <c r="K37" s="14"/>
      <c r="M37" s="43">
        <f>SUM(M33:M36)-SUM(N33:N36)</f>
        <v>345460</v>
      </c>
      <c r="N37" s="44"/>
      <c r="P37" s="22"/>
      <c r="Q37" s="43">
        <f>SUM(Q33:Q36)-SUM(R33:R36)</f>
        <v>9200</v>
      </c>
      <c r="R37" s="44"/>
      <c r="S37" s="25"/>
      <c r="U37" s="43">
        <f>SUM(U33:U36)-SUM(V33:V36)</f>
        <v>15600</v>
      </c>
      <c r="V37" s="44"/>
      <c r="W37" s="14"/>
    </row>
    <row r="38" spans="2:31" ht="12.75" x14ac:dyDescent="0.2">
      <c r="B38" s="37"/>
      <c r="C38" s="38"/>
      <c r="D38" s="38"/>
      <c r="G38" s="55"/>
    </row>
    <row r="39" spans="2:31" ht="12.75" x14ac:dyDescent="0.2">
      <c r="B39" s="37"/>
      <c r="C39" s="41"/>
      <c r="D39" s="41"/>
      <c r="G39" s="55"/>
      <c r="K39" s="53" t="s">
        <v>167</v>
      </c>
      <c r="L39" s="54"/>
      <c r="M39" s="53"/>
      <c r="N39" s="53">
        <f>I10+M10+Q10+U10+I19+Q19+M37+Q37+U37</f>
        <v>610800</v>
      </c>
    </row>
    <row r="40" spans="2:31" x14ac:dyDescent="0.2">
      <c r="C40" s="49"/>
      <c r="D40" s="50"/>
      <c r="E40" s="51"/>
      <c r="F40" s="51"/>
      <c r="G40" s="55"/>
      <c r="K40" s="53" t="s">
        <v>168</v>
      </c>
      <c r="L40" s="54"/>
      <c r="M40" s="53"/>
      <c r="N40" s="53">
        <f>N19+V19+J28+N28+R28+J37</f>
        <v>610800</v>
      </c>
    </row>
    <row r="41" spans="2:31" x14ac:dyDescent="0.2">
      <c r="C41" s="49"/>
      <c r="D41" s="50" t="s">
        <v>77</v>
      </c>
      <c r="E41" s="52">
        <f>SUM(E4:E40)</f>
        <v>1802660</v>
      </c>
      <c r="F41" s="52">
        <f>SUM(F4:F40)</f>
        <v>1802660</v>
      </c>
      <c r="G41" s="55"/>
    </row>
    <row r="42" spans="2:31" x14ac:dyDescent="0.2">
      <c r="C42" s="49"/>
      <c r="D42" s="49"/>
      <c r="G42" s="55"/>
      <c r="Q42" s="20">
        <f>N41-N42</f>
        <v>0</v>
      </c>
    </row>
    <row r="43" spans="2:31" x14ac:dyDescent="0.2">
      <c r="C43" s="49"/>
      <c r="D43" s="49"/>
      <c r="G43" s="55"/>
    </row>
    <row r="44" spans="2:31" x14ac:dyDescent="0.2">
      <c r="C44" s="49"/>
      <c r="D44" s="49"/>
    </row>
    <row r="45" spans="2:31" x14ac:dyDescent="0.2">
      <c r="C45" s="49"/>
      <c r="D45" s="49"/>
    </row>
    <row r="46" spans="2:31" x14ac:dyDescent="0.2">
      <c r="C46" s="49"/>
      <c r="D46" s="49"/>
    </row>
    <row r="47" spans="2:31" x14ac:dyDescent="0.2">
      <c r="C47" s="49"/>
      <c r="D47" s="49"/>
    </row>
    <row r="48" spans="2:31" x14ac:dyDescent="0.2">
      <c r="C48" s="49"/>
      <c r="D48" s="49"/>
    </row>
    <row r="49" spans="3:4" x14ac:dyDescent="0.2">
      <c r="C49" s="49"/>
      <c r="D49" s="50"/>
    </row>
    <row r="50" spans="3:4" x14ac:dyDescent="0.2">
      <c r="C50" s="49"/>
      <c r="D50" s="50"/>
    </row>
    <row r="51" spans="3:4" x14ac:dyDescent="0.2">
      <c r="C51" s="49"/>
      <c r="D51" s="50"/>
    </row>
    <row r="52" spans="3:4" x14ac:dyDescent="0.2">
      <c r="C52" s="49"/>
      <c r="D52" s="50"/>
    </row>
    <row r="53" spans="3:4" x14ac:dyDescent="0.2">
      <c r="C53" s="49"/>
      <c r="D53" s="50"/>
    </row>
    <row r="54" spans="3:4" x14ac:dyDescent="0.2">
      <c r="C54" s="49"/>
      <c r="D54" s="50"/>
    </row>
  </sheetData>
  <phoneticPr fontId="0" type="noConversion"/>
  <pageMargins left="0.75" right="0.36" top="0.8" bottom="0.65" header="0.3" footer="0.5"/>
  <pageSetup scale="70" orientation="landscape" horizontalDpi="4294967293" verticalDpi="300" r:id="rId1"/>
  <headerFooter alignWithMargins="0">
    <oddHeader xml:space="preserve">&amp;L&amp;16City of Monroe
Stores &amp; Services Internal Service Fund&amp;C&amp;16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6"/>
  <sheetViews>
    <sheetView tabSelected="1" zoomScaleNormal="100" workbookViewId="0">
      <selection activeCell="L1" sqref="L1"/>
    </sheetView>
  </sheetViews>
  <sheetFormatPr defaultColWidth="9.140625" defaultRowHeight="15" x14ac:dyDescent="0.25"/>
  <cols>
    <col min="1" max="1" width="5.42578125" style="14" customWidth="1"/>
    <col min="2" max="2" width="4.140625" style="15" customWidth="1"/>
    <col min="3" max="3" width="7.42578125" style="24" customWidth="1"/>
    <col min="4" max="4" width="33" style="24" customWidth="1"/>
    <col min="5" max="5" width="9" style="73" customWidth="1"/>
    <col min="6" max="6" width="9.85546875" style="73" customWidth="1"/>
    <col min="7" max="7" width="1.7109375" style="14" customWidth="1"/>
    <col min="8" max="8" width="3.7109375" style="19" customWidth="1"/>
    <col min="9" max="10" width="9.7109375" style="71" customWidth="1"/>
    <col min="11" max="11" width="3.7109375" style="21" customWidth="1"/>
    <col min="12" max="12" width="3.7109375" style="22" customWidth="1"/>
    <col min="13" max="13" width="10.140625" style="71" customWidth="1"/>
    <col min="14" max="14" width="9.140625" style="71" customWidth="1"/>
    <col min="15" max="15" width="3.7109375" style="21" customWidth="1"/>
    <col min="16" max="16" width="3.7109375" style="19" customWidth="1"/>
    <col min="17" max="18" width="10.28515625" style="71" customWidth="1"/>
    <col min="19" max="19" width="4.140625" style="21" customWidth="1"/>
    <col min="20" max="20" width="4.140625" style="22" customWidth="1"/>
    <col min="21" max="22" width="10" style="71" customWidth="1"/>
    <col min="23" max="23" width="3.7109375" style="21" customWidth="1"/>
    <col min="24" max="16384" width="9.140625" style="14"/>
  </cols>
  <sheetData>
    <row r="1" spans="1:27" x14ac:dyDescent="0.25">
      <c r="C1" s="58" t="s">
        <v>12</v>
      </c>
      <c r="G1" s="60"/>
    </row>
    <row r="2" spans="1:27" x14ac:dyDescent="0.25">
      <c r="C2" s="23"/>
      <c r="G2" s="60"/>
      <c r="I2" s="72" t="s">
        <v>0</v>
      </c>
      <c r="J2" s="72"/>
      <c r="K2" s="25"/>
      <c r="M2" s="71" t="s">
        <v>14</v>
      </c>
      <c r="Q2" s="71" t="s">
        <v>13</v>
      </c>
      <c r="U2" s="71" t="s">
        <v>18</v>
      </c>
    </row>
    <row r="3" spans="1:27" s="30" customFormat="1" ht="15" customHeight="1" x14ac:dyDescent="0.25">
      <c r="A3" s="26" t="s">
        <v>7</v>
      </c>
      <c r="B3" s="27"/>
      <c r="C3" s="28" t="s">
        <v>8</v>
      </c>
      <c r="D3" s="28"/>
      <c r="E3" s="77" t="s">
        <v>5</v>
      </c>
      <c r="F3" s="77" t="s">
        <v>6</v>
      </c>
      <c r="G3" s="61"/>
      <c r="H3" s="22" t="s">
        <v>1</v>
      </c>
      <c r="I3" s="68">
        <v>105000</v>
      </c>
      <c r="J3" s="63"/>
      <c r="K3" s="25"/>
      <c r="L3" s="22"/>
      <c r="M3" s="71" t="s">
        <v>15</v>
      </c>
      <c r="N3" s="71"/>
      <c r="O3" s="21"/>
      <c r="P3" s="19"/>
      <c r="Q3" s="71" t="s">
        <v>16</v>
      </c>
      <c r="R3" s="71"/>
      <c r="S3" s="21"/>
      <c r="T3" s="22"/>
      <c r="U3" s="71" t="s">
        <v>17</v>
      </c>
      <c r="V3" s="71"/>
      <c r="W3" s="21"/>
    </row>
    <row r="4" spans="1:27" x14ac:dyDescent="0.25">
      <c r="A4" s="31"/>
      <c r="B4" s="32"/>
      <c r="C4" s="33"/>
      <c r="D4" s="33"/>
      <c r="E4" s="78"/>
      <c r="F4" s="78"/>
      <c r="G4" s="62"/>
      <c r="H4" s="19">
        <v>2</v>
      </c>
      <c r="I4" s="68">
        <f>E9</f>
        <v>962000</v>
      </c>
      <c r="J4" s="67">
        <f>F29</f>
        <v>351900</v>
      </c>
      <c r="K4" s="25">
        <v>6</v>
      </c>
      <c r="L4" s="22" t="s">
        <v>1</v>
      </c>
      <c r="M4" s="66">
        <v>77000</v>
      </c>
      <c r="N4" s="63"/>
      <c r="O4" s="25"/>
      <c r="Q4" s="66"/>
      <c r="R4" s="63">
        <v>4000</v>
      </c>
      <c r="S4" s="25" t="s">
        <v>1</v>
      </c>
      <c r="T4" s="22" t="s">
        <v>1</v>
      </c>
      <c r="U4" s="66"/>
      <c r="V4" s="63"/>
      <c r="W4" s="25"/>
    </row>
    <row r="5" spans="1:27" ht="12.75" x14ac:dyDescent="0.2">
      <c r="A5" s="14" t="s">
        <v>67</v>
      </c>
      <c r="B5" s="37">
        <v>1</v>
      </c>
      <c r="C5" s="38" t="s">
        <v>40</v>
      </c>
      <c r="D5" s="38"/>
      <c r="E5" s="73">
        <v>1002000</v>
      </c>
      <c r="G5" s="60"/>
      <c r="H5" s="19">
        <v>3</v>
      </c>
      <c r="I5" s="68">
        <f>E12</f>
        <v>15000</v>
      </c>
      <c r="J5" s="67">
        <f>F32</f>
        <v>162500</v>
      </c>
      <c r="K5" s="25">
        <v>7</v>
      </c>
      <c r="L5" s="19">
        <v>1</v>
      </c>
      <c r="M5" s="74">
        <f>E5</f>
        <v>1002000</v>
      </c>
      <c r="N5" s="67">
        <f>F10</f>
        <v>962000</v>
      </c>
      <c r="O5" s="21">
        <v>2</v>
      </c>
      <c r="P5" s="19">
        <v>10</v>
      </c>
      <c r="Q5" s="71">
        <f>E40</f>
        <v>3020</v>
      </c>
      <c r="R5" s="67"/>
      <c r="S5" s="25"/>
      <c r="T5" s="19">
        <v>1</v>
      </c>
      <c r="U5" s="74">
        <f>E6</f>
        <v>37000</v>
      </c>
      <c r="V5" s="67"/>
    </row>
    <row r="6" spans="1:27" ht="12.75" x14ac:dyDescent="0.2">
      <c r="B6" s="37"/>
      <c r="C6" s="38" t="s">
        <v>41</v>
      </c>
      <c r="D6" s="41"/>
      <c r="E6" s="73">
        <v>37000</v>
      </c>
      <c r="G6" s="60"/>
      <c r="I6" s="68"/>
      <c r="J6" s="67">
        <f>F48</f>
        <v>393100</v>
      </c>
      <c r="K6" s="25">
        <v>12</v>
      </c>
      <c r="M6" s="68"/>
      <c r="N6" s="67">
        <f>F41</f>
        <v>3020</v>
      </c>
      <c r="O6" s="25">
        <v>10</v>
      </c>
      <c r="Q6" s="68"/>
      <c r="R6" s="67">
        <f>F44</f>
        <v>5500</v>
      </c>
      <c r="S6" s="25">
        <v>11</v>
      </c>
      <c r="U6" s="68"/>
      <c r="V6" s="67"/>
      <c r="W6" s="25"/>
    </row>
    <row r="7" spans="1:27" ht="12.75" x14ac:dyDescent="0.2">
      <c r="B7" s="37"/>
      <c r="C7" s="41"/>
      <c r="D7" s="38" t="s">
        <v>42</v>
      </c>
      <c r="F7" s="73">
        <f>E5+E6</f>
        <v>1039000</v>
      </c>
      <c r="G7" s="60"/>
      <c r="I7" s="68"/>
      <c r="J7" s="67">
        <f>F54</f>
        <v>50000</v>
      </c>
      <c r="K7" s="21">
        <v>13</v>
      </c>
      <c r="M7" s="68"/>
      <c r="N7" s="67"/>
      <c r="O7" s="25"/>
      <c r="Q7" s="68"/>
      <c r="R7" s="67"/>
      <c r="S7" s="25"/>
      <c r="U7" s="68"/>
      <c r="V7" s="67"/>
      <c r="W7" s="25"/>
    </row>
    <row r="8" spans="1:27" ht="12.75" x14ac:dyDescent="0.2">
      <c r="B8" s="37"/>
      <c r="C8" s="41"/>
      <c r="D8" s="38"/>
      <c r="G8" s="60"/>
      <c r="I8" s="68"/>
      <c r="J8" s="67">
        <f>F60</f>
        <v>25000</v>
      </c>
      <c r="K8" s="21">
        <v>15</v>
      </c>
      <c r="M8" s="68"/>
      <c r="N8" s="67"/>
      <c r="O8" s="25"/>
      <c r="Q8" s="68"/>
      <c r="R8" s="67"/>
      <c r="S8" s="25"/>
      <c r="U8" s="68"/>
      <c r="V8" s="67"/>
      <c r="W8" s="25"/>
    </row>
    <row r="9" spans="1:27" ht="12.75" x14ac:dyDescent="0.2">
      <c r="B9" s="37">
        <v>2</v>
      </c>
      <c r="C9" s="38" t="s">
        <v>4</v>
      </c>
      <c r="D9" s="38"/>
      <c r="E9" s="73">
        <v>962000</v>
      </c>
      <c r="G9" s="60"/>
      <c r="I9" s="68"/>
      <c r="J9" s="67"/>
      <c r="K9" s="25"/>
      <c r="M9" s="68"/>
      <c r="N9" s="67"/>
      <c r="O9" s="25"/>
      <c r="Q9" s="68"/>
      <c r="R9" s="67"/>
      <c r="S9" s="25"/>
      <c r="U9" s="68"/>
      <c r="V9" s="67"/>
      <c r="W9" s="25"/>
    </row>
    <row r="10" spans="1:27" ht="12.75" x14ac:dyDescent="0.2">
      <c r="B10" s="37"/>
      <c r="C10" s="38"/>
      <c r="D10" s="38" t="s">
        <v>40</v>
      </c>
      <c r="F10" s="73">
        <f>E9</f>
        <v>962000</v>
      </c>
      <c r="G10" s="60"/>
      <c r="I10" s="70">
        <f>SUM(I3:I9)-SUM(J3:J9)</f>
        <v>99500</v>
      </c>
      <c r="J10" s="69"/>
      <c r="K10" s="25"/>
      <c r="M10" s="70">
        <f>SUM(M4:M9)-SUM(N4:N9)</f>
        <v>113980</v>
      </c>
      <c r="N10" s="69"/>
      <c r="O10" s="25"/>
      <c r="Q10" s="70"/>
      <c r="R10" s="69">
        <f>SUM(R4:R9)-SUM(Q4:Q9)</f>
        <v>6480</v>
      </c>
      <c r="S10" s="25"/>
      <c r="U10" s="70">
        <f>SUM(U4:U9)-SUM(V4:V9)</f>
        <v>37000</v>
      </c>
      <c r="V10" s="69"/>
      <c r="W10" s="25"/>
    </row>
    <row r="11" spans="1:27" ht="12.75" x14ac:dyDescent="0.2">
      <c r="B11" s="37"/>
      <c r="C11" s="38"/>
      <c r="D11" s="38"/>
      <c r="G11" s="60"/>
    </row>
    <row r="12" spans="1:27" ht="12.75" x14ac:dyDescent="0.2">
      <c r="B12" s="37">
        <v>3</v>
      </c>
      <c r="C12" s="38" t="s">
        <v>4</v>
      </c>
      <c r="D12" s="38"/>
      <c r="E12" s="73">
        <v>15000</v>
      </c>
      <c r="G12" s="60"/>
    </row>
    <row r="13" spans="1:27" ht="12.75" x14ac:dyDescent="0.2">
      <c r="B13" s="37"/>
      <c r="C13" s="38"/>
      <c r="D13" s="38" t="s">
        <v>43</v>
      </c>
      <c r="F13" s="73">
        <v>15000</v>
      </c>
      <c r="G13" s="60"/>
      <c r="H13" s="22"/>
      <c r="I13" s="71" t="s">
        <v>57</v>
      </c>
      <c r="M13" s="71" t="s">
        <v>19</v>
      </c>
      <c r="P13" s="22"/>
      <c r="Q13" s="71" t="s">
        <v>151</v>
      </c>
      <c r="T13" s="19"/>
      <c r="U13" s="71" t="s">
        <v>21</v>
      </c>
    </row>
    <row r="14" spans="1:27" ht="12.75" x14ac:dyDescent="0.2">
      <c r="B14" s="37"/>
      <c r="C14" s="38"/>
      <c r="D14" s="38"/>
      <c r="G14" s="60"/>
      <c r="H14" s="22"/>
      <c r="I14" s="71" t="s">
        <v>58</v>
      </c>
      <c r="M14" s="71" t="s">
        <v>20</v>
      </c>
      <c r="P14" s="22"/>
      <c r="Q14" s="71" t="s">
        <v>152</v>
      </c>
      <c r="T14" s="19"/>
      <c r="U14" s="71" t="s">
        <v>153</v>
      </c>
    </row>
    <row r="15" spans="1:27" ht="12.75" x14ac:dyDescent="0.2">
      <c r="B15" s="37">
        <v>4</v>
      </c>
      <c r="C15" s="38" t="s">
        <v>44</v>
      </c>
      <c r="D15" s="38"/>
      <c r="E15" s="73">
        <v>257000</v>
      </c>
      <c r="G15" s="60"/>
      <c r="H15" s="22" t="s">
        <v>1</v>
      </c>
      <c r="I15" s="66">
        <v>28000</v>
      </c>
      <c r="J15" s="63"/>
      <c r="L15" s="22" t="s">
        <v>1</v>
      </c>
      <c r="M15" s="66">
        <v>30000</v>
      </c>
      <c r="N15" s="63"/>
      <c r="O15" s="25"/>
      <c r="P15" s="22" t="s">
        <v>1</v>
      </c>
      <c r="Q15" s="66">
        <v>4200000</v>
      </c>
      <c r="R15" s="63"/>
      <c r="S15" s="25"/>
      <c r="T15" s="19"/>
      <c r="U15" s="66"/>
      <c r="V15" s="63">
        <v>1200000</v>
      </c>
      <c r="W15" s="25" t="s">
        <v>1</v>
      </c>
      <c r="AA15" s="21"/>
    </row>
    <row r="16" spans="1:27" ht="12.75" x14ac:dyDescent="0.2">
      <c r="B16" s="37"/>
      <c r="C16" s="38"/>
      <c r="D16" s="38" t="s">
        <v>45</v>
      </c>
      <c r="F16" s="73">
        <f>E15</f>
        <v>257000</v>
      </c>
      <c r="G16" s="60"/>
      <c r="H16" s="22">
        <v>4</v>
      </c>
      <c r="I16" s="68">
        <f>E15</f>
        <v>257000</v>
      </c>
      <c r="J16" s="67">
        <f>F22</f>
        <v>247900</v>
      </c>
      <c r="K16" s="21">
        <v>5</v>
      </c>
      <c r="M16" s="68"/>
      <c r="N16" s="67">
        <f>F13</f>
        <v>15000</v>
      </c>
      <c r="O16" s="25">
        <v>3</v>
      </c>
      <c r="P16" s="22">
        <v>9</v>
      </c>
      <c r="Q16" s="68">
        <f>E37</f>
        <v>203000</v>
      </c>
      <c r="R16" s="67"/>
      <c r="S16" s="25"/>
      <c r="T16" s="19"/>
      <c r="U16" s="68"/>
      <c r="V16" s="67">
        <f>F57</f>
        <v>275000</v>
      </c>
      <c r="W16" s="25">
        <v>14</v>
      </c>
      <c r="AA16" s="21"/>
    </row>
    <row r="17" spans="2:27" ht="12.75" x14ac:dyDescent="0.2">
      <c r="B17" s="37"/>
      <c r="C17" s="38"/>
      <c r="D17" s="38"/>
      <c r="G17" s="60"/>
      <c r="H17" s="22">
        <v>13</v>
      </c>
      <c r="I17" s="68">
        <f>E50</f>
        <v>58000</v>
      </c>
      <c r="J17" s="67"/>
      <c r="M17" s="68"/>
      <c r="N17" s="67"/>
      <c r="O17" s="25"/>
      <c r="P17" s="22"/>
      <c r="Q17" s="68"/>
      <c r="R17" s="67"/>
      <c r="S17" s="25"/>
      <c r="T17" s="19"/>
      <c r="U17" s="68"/>
      <c r="V17" s="67"/>
      <c r="W17" s="25"/>
      <c r="AA17" s="25"/>
    </row>
    <row r="18" spans="2:27" ht="12.75" x14ac:dyDescent="0.2">
      <c r="B18" s="37">
        <v>5</v>
      </c>
      <c r="C18" s="38" t="s">
        <v>46</v>
      </c>
      <c r="D18" s="38"/>
      <c r="E18" s="73">
        <v>164900</v>
      </c>
      <c r="G18" s="60"/>
      <c r="H18" s="22"/>
      <c r="I18" s="68"/>
      <c r="J18" s="67"/>
      <c r="M18" s="68"/>
      <c r="N18" s="67"/>
      <c r="O18" s="25"/>
      <c r="P18" s="22"/>
      <c r="Q18" s="68"/>
      <c r="R18" s="67"/>
      <c r="S18" s="25"/>
      <c r="T18" s="19"/>
      <c r="U18" s="68"/>
      <c r="V18" s="67"/>
      <c r="W18" s="25"/>
      <c r="AA18" s="21"/>
    </row>
    <row r="19" spans="2:27" ht="12.75" x14ac:dyDescent="0.2">
      <c r="B19" s="37"/>
      <c r="C19" s="38" t="s">
        <v>47</v>
      </c>
      <c r="D19" s="38"/>
      <c r="E19" s="73">
        <v>15000</v>
      </c>
      <c r="G19" s="60"/>
      <c r="H19" s="22"/>
      <c r="I19" s="68"/>
      <c r="J19" s="67"/>
      <c r="M19" s="68"/>
      <c r="N19" s="67"/>
      <c r="O19" s="25"/>
      <c r="P19" s="22"/>
      <c r="Q19" s="68"/>
      <c r="R19" s="67"/>
      <c r="S19" s="25"/>
      <c r="T19" s="19"/>
      <c r="U19" s="68"/>
      <c r="V19" s="67"/>
      <c r="W19" s="25"/>
      <c r="AA19" s="25"/>
    </row>
    <row r="20" spans="2:27" ht="12.75" x14ac:dyDescent="0.2">
      <c r="B20" s="37"/>
      <c r="C20" s="38" t="s">
        <v>48</v>
      </c>
      <c r="D20" s="38"/>
      <c r="E20" s="73">
        <v>18000</v>
      </c>
      <c r="G20" s="60"/>
      <c r="H20" s="22"/>
      <c r="I20" s="70">
        <f>SUM(I15:I19)-SUM(J15:J19)</f>
        <v>95100</v>
      </c>
      <c r="J20" s="69"/>
      <c r="M20" s="70">
        <f>SUM(M15:M19)-SUM(N15:N19)</f>
        <v>15000</v>
      </c>
      <c r="N20" s="69"/>
      <c r="O20" s="25"/>
      <c r="P20" s="22"/>
      <c r="Q20" s="70">
        <f>SUM(Q15:Q19)-SUM(R15:R19)</f>
        <v>4403000</v>
      </c>
      <c r="R20" s="69"/>
      <c r="S20" s="25"/>
      <c r="T20" s="19"/>
      <c r="U20" s="70"/>
      <c r="V20" s="69">
        <f>SUM(V15:V19)-SUM(U15:U19)</f>
        <v>1475000</v>
      </c>
      <c r="W20" s="25"/>
      <c r="AA20" s="25"/>
    </row>
    <row r="21" spans="2:27" ht="12.75" x14ac:dyDescent="0.2">
      <c r="B21" s="37"/>
      <c r="C21" s="38" t="s">
        <v>49</v>
      </c>
      <c r="D21" s="38"/>
      <c r="E21" s="73">
        <v>50000</v>
      </c>
      <c r="G21" s="60"/>
      <c r="H21" s="14"/>
      <c r="I21" s="73"/>
      <c r="J21" s="73"/>
      <c r="K21" s="14"/>
      <c r="L21" s="14"/>
      <c r="M21" s="73"/>
      <c r="N21" s="73"/>
      <c r="O21" s="14"/>
      <c r="P21" s="14"/>
      <c r="Q21" s="73"/>
      <c r="R21" s="73"/>
      <c r="S21" s="14"/>
      <c r="T21" s="14"/>
      <c r="U21" s="73"/>
      <c r="V21" s="73"/>
      <c r="W21" s="14"/>
      <c r="AA21" s="25"/>
    </row>
    <row r="22" spans="2:27" ht="12.75" x14ac:dyDescent="0.2">
      <c r="B22" s="37"/>
      <c r="C22" s="38"/>
      <c r="D22" s="38" t="s">
        <v>44</v>
      </c>
      <c r="F22" s="73">
        <f>SUM(E18:E21)</f>
        <v>247900</v>
      </c>
      <c r="G22" s="60"/>
      <c r="H22" s="22"/>
      <c r="I22" s="71" t="s">
        <v>22</v>
      </c>
      <c r="O22" s="14"/>
      <c r="P22" s="45"/>
      <c r="S22" s="45"/>
      <c r="T22" s="45"/>
      <c r="U22" s="71" t="s">
        <v>25</v>
      </c>
      <c r="AA22" s="25"/>
    </row>
    <row r="23" spans="2:27" ht="12.75" x14ac:dyDescent="0.2">
      <c r="B23" s="37"/>
      <c r="C23" s="38"/>
      <c r="D23" s="38"/>
      <c r="G23" s="60"/>
      <c r="H23" s="22"/>
      <c r="I23" s="71" t="s">
        <v>23</v>
      </c>
      <c r="M23" s="71" t="s">
        <v>24</v>
      </c>
      <c r="P23" s="22"/>
      <c r="Q23" s="71" t="s">
        <v>3</v>
      </c>
      <c r="T23" s="45"/>
      <c r="U23" s="71" t="s">
        <v>26</v>
      </c>
      <c r="AA23" s="25"/>
    </row>
    <row r="24" spans="2:27" ht="12.75" x14ac:dyDescent="0.2">
      <c r="B24" s="37">
        <v>6</v>
      </c>
      <c r="C24" s="38" t="s">
        <v>46</v>
      </c>
      <c r="D24" s="38"/>
      <c r="E24" s="73">
        <v>265800</v>
      </c>
      <c r="G24" s="60"/>
      <c r="H24" s="22" t="s">
        <v>1</v>
      </c>
      <c r="I24" s="66">
        <v>203000</v>
      </c>
      <c r="J24" s="63"/>
      <c r="K24" s="25"/>
      <c r="L24" s="22" t="s">
        <v>1</v>
      </c>
      <c r="M24" s="66">
        <v>117000</v>
      </c>
      <c r="N24" s="63"/>
      <c r="P24" s="22"/>
      <c r="Q24" s="66"/>
      <c r="R24" s="63">
        <v>97000</v>
      </c>
      <c r="S24" s="21" t="s">
        <v>1</v>
      </c>
      <c r="T24" s="45"/>
      <c r="U24" s="66"/>
      <c r="V24" s="63">
        <v>0</v>
      </c>
      <c r="W24" s="21" t="s">
        <v>1</v>
      </c>
    </row>
    <row r="25" spans="2:27" ht="12.75" x14ac:dyDescent="0.2">
      <c r="B25" s="37"/>
      <c r="C25" s="38" t="s">
        <v>47</v>
      </c>
      <c r="D25" s="38"/>
      <c r="E25" s="73">
        <v>43900</v>
      </c>
      <c r="G25" s="60"/>
      <c r="H25" s="22">
        <v>5</v>
      </c>
      <c r="I25" s="74">
        <f>E21</f>
        <v>50000</v>
      </c>
      <c r="J25" s="67"/>
      <c r="L25" s="19">
        <v>15</v>
      </c>
      <c r="M25" s="68">
        <f>E59</f>
        <v>25000</v>
      </c>
      <c r="N25" s="67"/>
      <c r="Q25" s="68"/>
      <c r="R25" s="67">
        <f>F16</f>
        <v>257000</v>
      </c>
      <c r="S25" s="21">
        <v>4</v>
      </c>
      <c r="T25" s="45"/>
      <c r="U25" s="68"/>
      <c r="V25" s="67">
        <f>F28</f>
        <v>98500</v>
      </c>
      <c r="W25" s="21">
        <v>6</v>
      </c>
    </row>
    <row r="26" spans="2:27" ht="12.75" x14ac:dyDescent="0.2">
      <c r="B26" s="37"/>
      <c r="C26" s="38" t="s">
        <v>48</v>
      </c>
      <c r="D26" s="38"/>
      <c r="E26" s="73">
        <v>91400</v>
      </c>
      <c r="G26" s="60"/>
      <c r="H26" s="22">
        <v>6</v>
      </c>
      <c r="I26" s="68">
        <f>E27</f>
        <v>49300</v>
      </c>
      <c r="J26" s="67"/>
      <c r="K26" s="25"/>
      <c r="M26" s="68"/>
      <c r="N26" s="67"/>
      <c r="P26" s="22">
        <v>12</v>
      </c>
      <c r="Q26" s="68">
        <f>E46</f>
        <v>297900</v>
      </c>
      <c r="R26" s="67"/>
      <c r="T26" s="45">
        <v>12</v>
      </c>
      <c r="U26" s="68">
        <f>E47</f>
        <v>95200</v>
      </c>
      <c r="V26" s="67"/>
    </row>
    <row r="27" spans="2:27" ht="12.75" x14ac:dyDescent="0.2">
      <c r="B27" s="37"/>
      <c r="C27" s="38" t="s">
        <v>49</v>
      </c>
      <c r="D27" s="38"/>
      <c r="E27" s="73">
        <v>49300</v>
      </c>
      <c r="G27" s="60"/>
      <c r="H27" s="22">
        <v>8</v>
      </c>
      <c r="I27" s="68">
        <f>E34</f>
        <v>17000</v>
      </c>
      <c r="J27" s="67"/>
      <c r="K27" s="25"/>
      <c r="M27" s="68"/>
      <c r="N27" s="67"/>
      <c r="P27" s="22"/>
      <c r="Q27" s="68"/>
      <c r="R27" s="67"/>
      <c r="T27" s="45"/>
      <c r="U27" s="68"/>
      <c r="V27" s="67"/>
    </row>
    <row r="28" spans="2:27" ht="12.75" x14ac:dyDescent="0.2">
      <c r="B28" s="37"/>
      <c r="C28" s="38"/>
      <c r="D28" s="38" t="s">
        <v>50</v>
      </c>
      <c r="F28" s="73">
        <f>E24+E25+E26+E27-F29</f>
        <v>98500</v>
      </c>
      <c r="G28" s="60"/>
      <c r="H28" s="22"/>
      <c r="I28" s="68"/>
      <c r="J28" s="67">
        <f>F38</f>
        <v>203000</v>
      </c>
      <c r="K28" s="25">
        <v>9</v>
      </c>
      <c r="M28" s="68"/>
      <c r="N28" s="67"/>
      <c r="P28" s="22"/>
      <c r="Q28" s="68"/>
      <c r="R28" s="67"/>
      <c r="T28" s="45"/>
      <c r="U28" s="68"/>
      <c r="V28" s="67"/>
    </row>
    <row r="29" spans="2:27" ht="12.75" x14ac:dyDescent="0.2">
      <c r="B29" s="37"/>
      <c r="C29" s="38"/>
      <c r="D29" s="38" t="s">
        <v>4</v>
      </c>
      <c r="F29" s="73">
        <v>351900</v>
      </c>
      <c r="G29" s="60"/>
      <c r="H29" s="22"/>
      <c r="I29" s="68"/>
      <c r="J29" s="67"/>
      <c r="K29" s="25"/>
      <c r="M29" s="68"/>
      <c r="N29" s="67"/>
      <c r="P29" s="22"/>
      <c r="Q29" s="68"/>
      <c r="R29" s="67"/>
      <c r="T29" s="45"/>
      <c r="U29" s="68"/>
      <c r="V29" s="67"/>
    </row>
    <row r="30" spans="2:27" ht="12.75" x14ac:dyDescent="0.2">
      <c r="B30" s="37"/>
      <c r="C30" s="38"/>
      <c r="D30" s="38"/>
      <c r="G30" s="60"/>
      <c r="H30" s="22"/>
      <c r="I30" s="70">
        <f>SUM(I24:I29)-SUM(J24:J29)</f>
        <v>116300</v>
      </c>
      <c r="J30" s="69"/>
      <c r="K30" s="25"/>
      <c r="M30" s="70">
        <f>SUM(M24:M29)-SUM(N24:N29)</f>
        <v>142000</v>
      </c>
      <c r="N30" s="69"/>
      <c r="P30" s="47"/>
      <c r="Q30" s="70"/>
      <c r="R30" s="69">
        <f>SUM(R24:R29)-SUM(Q24:Q29)</f>
        <v>56100</v>
      </c>
      <c r="T30" s="45"/>
      <c r="U30" s="70"/>
      <c r="V30" s="69">
        <f>SUM(V25:V29)-SUM(U25:U29)</f>
        <v>3300</v>
      </c>
    </row>
    <row r="31" spans="2:27" ht="12.75" x14ac:dyDescent="0.2">
      <c r="B31" s="37">
        <v>7</v>
      </c>
      <c r="C31" s="38" t="s">
        <v>51</v>
      </c>
      <c r="D31" s="38"/>
      <c r="E31" s="73">
        <v>162500</v>
      </c>
      <c r="G31" s="60"/>
    </row>
    <row r="32" spans="2:27" ht="12.75" x14ac:dyDescent="0.2">
      <c r="B32" s="37"/>
      <c r="C32" s="38"/>
      <c r="D32" s="38" t="s">
        <v>4</v>
      </c>
      <c r="F32" s="73">
        <v>162500</v>
      </c>
      <c r="G32" s="60"/>
    </row>
    <row r="33" spans="2:31" ht="12.75" x14ac:dyDescent="0.2">
      <c r="B33" s="37"/>
      <c r="C33" s="38"/>
      <c r="D33" s="38"/>
      <c r="G33" s="60"/>
      <c r="I33" s="71" t="s">
        <v>28</v>
      </c>
      <c r="M33" s="71" t="s">
        <v>29</v>
      </c>
      <c r="P33" s="14"/>
      <c r="Q33" s="71" t="s">
        <v>157</v>
      </c>
      <c r="R33" s="73"/>
      <c r="S33" s="14"/>
      <c r="T33" s="14"/>
      <c r="U33" s="71" t="s">
        <v>32</v>
      </c>
      <c r="V33" s="73"/>
    </row>
    <row r="34" spans="2:31" ht="12.75" x14ac:dyDescent="0.2">
      <c r="B34" s="37">
        <v>8</v>
      </c>
      <c r="C34" s="38" t="s">
        <v>49</v>
      </c>
      <c r="D34" s="38"/>
      <c r="E34" s="73">
        <v>17000</v>
      </c>
      <c r="G34" s="60"/>
      <c r="H34" s="59" t="s">
        <v>2</v>
      </c>
      <c r="I34" s="71" t="s">
        <v>27</v>
      </c>
      <c r="M34" s="71" t="s">
        <v>30</v>
      </c>
      <c r="P34" s="46"/>
      <c r="Q34" s="71" t="s">
        <v>59</v>
      </c>
      <c r="T34" s="19"/>
      <c r="U34" s="71" t="s">
        <v>31</v>
      </c>
      <c r="AB34" s="19"/>
      <c r="AC34" s="48"/>
      <c r="AD34" s="48"/>
      <c r="AE34" s="21"/>
    </row>
    <row r="35" spans="2:31" ht="12.75" x14ac:dyDescent="0.2">
      <c r="B35" s="37"/>
      <c r="C35" s="38"/>
      <c r="D35" s="38" t="s">
        <v>51</v>
      </c>
      <c r="F35" s="73">
        <v>17000</v>
      </c>
      <c r="G35" s="60"/>
      <c r="I35" s="66"/>
      <c r="J35" s="63">
        <v>0</v>
      </c>
      <c r="K35" s="21" t="s">
        <v>1</v>
      </c>
      <c r="M35" s="66"/>
      <c r="N35" s="63">
        <v>2500000</v>
      </c>
      <c r="O35" s="64" t="s">
        <v>1</v>
      </c>
      <c r="P35" s="65"/>
      <c r="Q35" s="66"/>
      <c r="R35" s="63">
        <v>959000</v>
      </c>
      <c r="S35" s="21" t="s">
        <v>1</v>
      </c>
      <c r="T35" s="19"/>
      <c r="U35" s="66"/>
      <c r="V35" s="63">
        <f>F7</f>
        <v>1039000</v>
      </c>
      <c r="W35" s="21">
        <v>1</v>
      </c>
    </row>
    <row r="36" spans="2:31" ht="12.75" x14ac:dyDescent="0.2">
      <c r="B36" s="37"/>
      <c r="C36" s="38"/>
      <c r="D36" s="38"/>
      <c r="G36" s="60"/>
      <c r="I36" s="68"/>
      <c r="J36" s="67">
        <f>F51</f>
        <v>58000</v>
      </c>
      <c r="K36" s="21">
        <v>13</v>
      </c>
      <c r="M36" s="68"/>
      <c r="N36" s="67"/>
      <c r="O36" s="64"/>
      <c r="P36" s="65"/>
      <c r="Q36" s="68"/>
      <c r="R36" s="67"/>
      <c r="T36" s="19">
        <v>11</v>
      </c>
      <c r="U36" s="68">
        <f>E43</f>
        <v>5500</v>
      </c>
      <c r="V36" s="67"/>
    </row>
    <row r="37" spans="2:31" ht="12.75" x14ac:dyDescent="0.2">
      <c r="B37" s="37">
        <v>9</v>
      </c>
      <c r="C37" s="38" t="s">
        <v>154</v>
      </c>
      <c r="D37" s="38"/>
      <c r="E37" s="73">
        <f>I24</f>
        <v>203000</v>
      </c>
      <c r="G37" s="60"/>
      <c r="H37" s="46">
        <v>14</v>
      </c>
      <c r="I37" s="71">
        <f>E53</f>
        <v>50000</v>
      </c>
      <c r="J37" s="67"/>
      <c r="M37" s="68"/>
      <c r="N37" s="67"/>
      <c r="O37" s="64"/>
      <c r="P37" s="65"/>
      <c r="Q37" s="68"/>
      <c r="R37" s="67"/>
      <c r="T37" s="19"/>
      <c r="U37" s="68"/>
      <c r="V37" s="67"/>
    </row>
    <row r="38" spans="2:31" ht="12.75" x14ac:dyDescent="0.2">
      <c r="B38" s="37"/>
      <c r="C38" s="38"/>
      <c r="D38" s="38" t="s">
        <v>49</v>
      </c>
      <c r="F38" s="73">
        <f>E37</f>
        <v>203000</v>
      </c>
      <c r="G38" s="60"/>
      <c r="I38" s="68"/>
      <c r="J38" s="67"/>
      <c r="M38" s="68"/>
      <c r="N38" s="67"/>
      <c r="O38" s="64"/>
      <c r="P38" s="65"/>
      <c r="Q38" s="68"/>
      <c r="R38" s="67"/>
      <c r="T38" s="19"/>
      <c r="U38" s="68"/>
      <c r="V38" s="67"/>
    </row>
    <row r="39" spans="2:31" ht="12.75" x14ac:dyDescent="0.2">
      <c r="B39" s="37"/>
      <c r="C39" s="41"/>
      <c r="D39" s="41"/>
      <c r="G39" s="60"/>
      <c r="I39" s="70"/>
      <c r="J39" s="69">
        <f>SUM(J35:J38)-SUM(I35:I38)</f>
        <v>8000</v>
      </c>
      <c r="M39" s="70"/>
      <c r="N39" s="69">
        <f>SUM(N35:N38)-SUM(M35:M38)</f>
        <v>2500000</v>
      </c>
      <c r="O39" s="64"/>
      <c r="P39" s="65"/>
      <c r="Q39" s="70"/>
      <c r="R39" s="69">
        <f>SUM(R35:R38)-SUM(Q35:Q38)</f>
        <v>959000</v>
      </c>
      <c r="T39" s="19"/>
      <c r="U39" s="70"/>
      <c r="V39" s="69">
        <f>SUM(V35:V38)-SUM(U35:U38)</f>
        <v>1033500</v>
      </c>
    </row>
    <row r="40" spans="2:31" ht="12.75" x14ac:dyDescent="0.2">
      <c r="B40" s="37">
        <v>10</v>
      </c>
      <c r="C40" s="38" t="s">
        <v>52</v>
      </c>
      <c r="D40" s="38"/>
      <c r="E40" s="73">
        <v>3020</v>
      </c>
      <c r="G40" s="60"/>
      <c r="I40" s="75"/>
      <c r="J40" s="75"/>
      <c r="M40" s="75"/>
      <c r="N40" s="75"/>
      <c r="P40" s="46"/>
      <c r="Q40" s="75"/>
      <c r="R40" s="75"/>
      <c r="T40" s="19"/>
      <c r="U40" s="75"/>
      <c r="V40" s="75"/>
    </row>
    <row r="41" spans="2:31" ht="12.75" x14ac:dyDescent="0.2">
      <c r="B41" s="37"/>
      <c r="C41" s="38"/>
      <c r="D41" s="38" t="s">
        <v>40</v>
      </c>
      <c r="F41" s="73">
        <v>3020</v>
      </c>
      <c r="G41" s="60"/>
      <c r="I41" s="71" t="s">
        <v>33</v>
      </c>
      <c r="M41" s="71" t="s">
        <v>33</v>
      </c>
      <c r="Q41" s="71" t="s">
        <v>33</v>
      </c>
      <c r="U41" s="71" t="s">
        <v>33</v>
      </c>
    </row>
    <row r="42" spans="2:31" ht="12.75" x14ac:dyDescent="0.2">
      <c r="B42" s="37"/>
      <c r="C42" s="38"/>
      <c r="D42" s="38"/>
      <c r="G42" s="60"/>
      <c r="H42" s="22"/>
      <c r="I42" s="71" t="s">
        <v>34</v>
      </c>
      <c r="M42" s="71" t="s">
        <v>35</v>
      </c>
      <c r="P42" s="22"/>
      <c r="Q42" s="71" t="s">
        <v>36</v>
      </c>
      <c r="U42" s="71" t="s">
        <v>37</v>
      </c>
    </row>
    <row r="43" spans="2:31" ht="12.75" x14ac:dyDescent="0.2">
      <c r="B43" s="37">
        <v>11</v>
      </c>
      <c r="C43" s="38" t="s">
        <v>42</v>
      </c>
      <c r="D43" s="38"/>
      <c r="E43" s="73">
        <v>5500</v>
      </c>
      <c r="G43" s="60"/>
      <c r="H43" s="22">
        <v>5</v>
      </c>
      <c r="I43" s="66">
        <f>E18</f>
        <v>164900</v>
      </c>
      <c r="J43" s="63"/>
      <c r="L43" s="22">
        <v>5</v>
      </c>
      <c r="M43" s="66">
        <f>E19</f>
        <v>15000</v>
      </c>
      <c r="N43" s="63"/>
      <c r="O43" s="25"/>
      <c r="P43" s="22">
        <v>5</v>
      </c>
      <c r="Q43" s="66">
        <f>E20</f>
        <v>18000</v>
      </c>
      <c r="R43" s="63"/>
      <c r="S43" s="25"/>
      <c r="T43" s="22">
        <v>14</v>
      </c>
      <c r="U43" s="66">
        <f>E56</f>
        <v>275000</v>
      </c>
      <c r="V43" s="63"/>
    </row>
    <row r="44" spans="2:31" ht="12.75" x14ac:dyDescent="0.2">
      <c r="B44" s="37"/>
      <c r="C44" s="38"/>
      <c r="D44" s="38" t="s">
        <v>52</v>
      </c>
      <c r="F44" s="73">
        <f>E43</f>
        <v>5500</v>
      </c>
      <c r="G44" s="60"/>
      <c r="H44" s="22">
        <v>6</v>
      </c>
      <c r="I44" s="68">
        <f>E24</f>
        <v>265800</v>
      </c>
      <c r="J44" s="67"/>
      <c r="L44" s="22">
        <v>6</v>
      </c>
      <c r="M44" s="68">
        <f>E25</f>
        <v>43900</v>
      </c>
      <c r="N44" s="67"/>
      <c r="O44" s="25"/>
      <c r="P44" s="22">
        <v>6</v>
      </c>
      <c r="Q44" s="68">
        <f>E26</f>
        <v>91400</v>
      </c>
      <c r="R44" s="67"/>
      <c r="S44" s="25"/>
      <c r="U44" s="68"/>
      <c r="V44" s="67"/>
    </row>
    <row r="45" spans="2:31" ht="12.75" x14ac:dyDescent="0.2">
      <c r="B45" s="37"/>
      <c r="C45" s="38"/>
      <c r="D45" s="38"/>
      <c r="G45" s="60"/>
      <c r="H45" s="22"/>
      <c r="I45" s="68"/>
      <c r="J45" s="67"/>
      <c r="M45" s="68"/>
      <c r="N45" s="67"/>
      <c r="O45" s="25"/>
      <c r="P45" s="22"/>
      <c r="Q45" s="68"/>
      <c r="R45" s="67"/>
      <c r="S45" s="25"/>
      <c r="U45" s="68"/>
      <c r="V45" s="67"/>
    </row>
    <row r="46" spans="2:31" ht="12.75" x14ac:dyDescent="0.2">
      <c r="B46" s="37">
        <v>12</v>
      </c>
      <c r="C46" s="38" t="s">
        <v>45</v>
      </c>
      <c r="D46" s="38"/>
      <c r="E46" s="73">
        <v>297900</v>
      </c>
      <c r="G46" s="60"/>
      <c r="H46" s="22"/>
      <c r="I46" s="68"/>
      <c r="J46" s="67"/>
      <c r="M46" s="68"/>
      <c r="N46" s="67"/>
      <c r="O46" s="25"/>
      <c r="P46" s="22"/>
      <c r="Q46" s="68"/>
      <c r="R46" s="67"/>
      <c r="S46" s="25"/>
      <c r="U46" s="68"/>
      <c r="V46" s="67"/>
    </row>
    <row r="47" spans="2:31" ht="12.75" x14ac:dyDescent="0.2">
      <c r="B47" s="37"/>
      <c r="C47" s="38" t="s">
        <v>50</v>
      </c>
      <c r="D47" s="38"/>
      <c r="E47" s="73">
        <v>95200</v>
      </c>
      <c r="G47" s="60"/>
      <c r="H47" s="22"/>
      <c r="I47" s="70">
        <f>SUM(I43:I46)-SUM(J43:J46)</f>
        <v>430700</v>
      </c>
      <c r="J47" s="69"/>
      <c r="M47" s="70">
        <f>SUM(M43:M46)-SUM(N43:N46)</f>
        <v>58900</v>
      </c>
      <c r="N47" s="69"/>
      <c r="O47" s="25"/>
      <c r="P47" s="22"/>
      <c r="Q47" s="70">
        <f>SUM(Q43:Q46)-SUM(R43:R46)</f>
        <v>109400</v>
      </c>
      <c r="R47" s="69"/>
      <c r="S47" s="25"/>
      <c r="U47" s="70">
        <f>SUM(U43:U46)-SUM(V43:V46)</f>
        <v>275000</v>
      </c>
      <c r="V47" s="69"/>
    </row>
    <row r="48" spans="2:31" ht="12.75" x14ac:dyDescent="0.2">
      <c r="B48" s="37"/>
      <c r="C48" s="38"/>
      <c r="D48" s="38" t="s">
        <v>4</v>
      </c>
      <c r="F48" s="73">
        <f>E46+E47</f>
        <v>393100</v>
      </c>
      <c r="G48" s="60"/>
    </row>
    <row r="49" spans="2:21" ht="12.75" x14ac:dyDescent="0.2">
      <c r="B49" s="37"/>
      <c r="C49" s="38"/>
      <c r="D49" s="38"/>
      <c r="G49" s="60"/>
      <c r="H49" s="22"/>
      <c r="I49" s="71" t="s">
        <v>38</v>
      </c>
    </row>
    <row r="50" spans="2:21" ht="12.75" x14ac:dyDescent="0.2">
      <c r="B50" s="37">
        <v>13</v>
      </c>
      <c r="C50" s="38" t="s">
        <v>44</v>
      </c>
      <c r="D50" s="38"/>
      <c r="E50" s="73">
        <v>58000</v>
      </c>
      <c r="G50" s="60"/>
      <c r="H50" s="22"/>
      <c r="I50" s="71" t="s">
        <v>39</v>
      </c>
    </row>
    <row r="51" spans="2:21" ht="12.75" x14ac:dyDescent="0.2">
      <c r="B51" s="37"/>
      <c r="C51" s="38"/>
      <c r="D51" s="38" t="s">
        <v>53</v>
      </c>
      <c r="F51" s="73">
        <v>58000</v>
      </c>
      <c r="G51" s="60"/>
      <c r="H51" s="22">
        <v>7</v>
      </c>
      <c r="I51" s="66">
        <f>E31</f>
        <v>162500</v>
      </c>
      <c r="J51" s="63"/>
      <c r="O51" s="53" t="s">
        <v>167</v>
      </c>
      <c r="P51" s="54"/>
      <c r="Q51" s="76"/>
      <c r="R51" s="76">
        <f>I10+M10+U10+I20+M20+Q20+I30+M30+I47+M47+Q47+U47+I54</f>
        <v>6041380</v>
      </c>
    </row>
    <row r="52" spans="2:21" ht="12.75" x14ac:dyDescent="0.2">
      <c r="B52" s="37"/>
      <c r="C52" s="38"/>
      <c r="D52" s="38"/>
      <c r="G52" s="60"/>
      <c r="H52" s="22"/>
      <c r="I52" s="68"/>
      <c r="J52" s="67">
        <f>F35</f>
        <v>17000</v>
      </c>
      <c r="K52" s="21">
        <v>8</v>
      </c>
      <c r="O52" s="53" t="s">
        <v>168</v>
      </c>
      <c r="P52" s="54"/>
      <c r="Q52" s="76"/>
      <c r="R52" s="76">
        <f>R10+V20+R30+V30+J39+N39+R39+V39</f>
        <v>6041380</v>
      </c>
    </row>
    <row r="53" spans="2:21" ht="12.75" x14ac:dyDescent="0.2">
      <c r="B53" s="37"/>
      <c r="C53" s="38" t="s">
        <v>53</v>
      </c>
      <c r="D53" s="38"/>
      <c r="E53" s="73">
        <v>50000</v>
      </c>
      <c r="G53" s="60"/>
      <c r="H53" s="22"/>
      <c r="I53" s="68"/>
      <c r="J53" s="67"/>
    </row>
    <row r="54" spans="2:21" ht="12.75" x14ac:dyDescent="0.2">
      <c r="B54" s="37"/>
      <c r="C54" s="38"/>
      <c r="D54" s="38" t="s">
        <v>4</v>
      </c>
      <c r="F54" s="73">
        <v>50000</v>
      </c>
      <c r="G54" s="60"/>
      <c r="H54" s="22"/>
      <c r="I54" s="70">
        <f>SUM(I51:I53)-SUM(J51:J53)</f>
        <v>145500</v>
      </c>
      <c r="J54" s="69"/>
      <c r="R54" s="71">
        <f>I3+M4+U4+I15+M15+Q15+I24+M24</f>
        <v>4760000</v>
      </c>
    </row>
    <row r="55" spans="2:21" ht="12.75" x14ac:dyDescent="0.2">
      <c r="B55" s="37"/>
      <c r="C55" s="38"/>
      <c r="D55" s="38"/>
      <c r="G55" s="60"/>
      <c r="R55" s="71">
        <f>R4+V15+R24+V24+J35+N35+R35</f>
        <v>4760000</v>
      </c>
    </row>
    <row r="56" spans="2:21" ht="12.75" x14ac:dyDescent="0.2">
      <c r="B56" s="37">
        <v>14</v>
      </c>
      <c r="C56" s="38" t="s">
        <v>54</v>
      </c>
      <c r="D56" s="38"/>
      <c r="E56" s="73">
        <v>275000</v>
      </c>
      <c r="G56" s="60"/>
      <c r="U56" s="71">
        <f>R54-R55</f>
        <v>0</v>
      </c>
    </row>
    <row r="57" spans="2:21" ht="12.75" x14ac:dyDescent="0.2">
      <c r="B57" s="37"/>
      <c r="C57" s="38"/>
      <c r="D57" s="38" t="s">
        <v>55</v>
      </c>
      <c r="F57" s="73">
        <v>275000</v>
      </c>
      <c r="G57" s="60"/>
    </row>
    <row r="58" spans="2:21" ht="12.75" x14ac:dyDescent="0.2">
      <c r="B58" s="37"/>
      <c r="C58" s="38"/>
      <c r="D58" s="38"/>
      <c r="G58" s="60"/>
    </row>
    <row r="59" spans="2:21" ht="12.75" x14ac:dyDescent="0.2">
      <c r="B59" s="37">
        <v>15</v>
      </c>
      <c r="C59" s="38" t="s">
        <v>56</v>
      </c>
      <c r="D59" s="38"/>
      <c r="E59" s="73">
        <v>25000</v>
      </c>
      <c r="G59" s="60"/>
    </row>
    <row r="60" spans="2:21" ht="12.75" x14ac:dyDescent="0.2">
      <c r="B60" s="37"/>
      <c r="C60" s="38"/>
      <c r="D60" s="38" t="s">
        <v>4</v>
      </c>
      <c r="F60" s="73">
        <v>25000</v>
      </c>
      <c r="G60" s="60"/>
    </row>
    <row r="61" spans="2:21" x14ac:dyDescent="0.2">
      <c r="C61" s="49"/>
      <c r="D61" s="49"/>
      <c r="G61" s="60"/>
    </row>
    <row r="62" spans="2:21" x14ac:dyDescent="0.2">
      <c r="C62" s="49"/>
      <c r="D62" s="50"/>
      <c r="E62" s="79"/>
      <c r="F62" s="79"/>
      <c r="G62" s="60"/>
    </row>
    <row r="63" spans="2:21" x14ac:dyDescent="0.2">
      <c r="C63" s="49"/>
      <c r="D63" s="50"/>
      <c r="E63" s="78">
        <f>SUM(E4:E62)</f>
        <v>4163420</v>
      </c>
      <c r="F63" s="78">
        <f>SUM(F4:F62)</f>
        <v>4163420</v>
      </c>
      <c r="G63" s="60"/>
    </row>
    <row r="64" spans="2:21" x14ac:dyDescent="0.2">
      <c r="C64" s="49"/>
      <c r="D64" s="49"/>
      <c r="G64" s="60"/>
    </row>
    <row r="65" spans="3:9" x14ac:dyDescent="0.2">
      <c r="C65" s="49"/>
      <c r="D65" s="49"/>
      <c r="G65" s="60"/>
    </row>
    <row r="66" spans="3:9" x14ac:dyDescent="0.2">
      <c r="C66" s="49"/>
      <c r="D66" s="49"/>
      <c r="G66" s="60"/>
    </row>
    <row r="67" spans="3:9" x14ac:dyDescent="0.2">
      <c r="C67" s="49"/>
      <c r="D67" s="49"/>
      <c r="G67" s="60"/>
      <c r="I67" s="71">
        <f>I3+M4-R4+U4+I15+M15+Q15-V15+I24+M24-R24-V24-J35-N35-R35</f>
        <v>0</v>
      </c>
    </row>
    <row r="68" spans="3:9" x14ac:dyDescent="0.2">
      <c r="C68" s="49"/>
      <c r="D68" s="49"/>
      <c r="G68" s="60"/>
    </row>
    <row r="69" spans="3:9" x14ac:dyDescent="0.2">
      <c r="C69" s="49"/>
      <c r="D69" s="49"/>
    </row>
    <row r="70" spans="3:9" x14ac:dyDescent="0.2">
      <c r="C70" s="49"/>
      <c r="D70" s="49"/>
    </row>
    <row r="71" spans="3:9" x14ac:dyDescent="0.2">
      <c r="C71" s="49"/>
      <c r="D71" s="50"/>
    </row>
    <row r="72" spans="3:9" x14ac:dyDescent="0.2">
      <c r="C72" s="49"/>
      <c r="D72" s="50"/>
    </row>
    <row r="73" spans="3:9" x14ac:dyDescent="0.2">
      <c r="C73" s="49"/>
      <c r="D73" s="50"/>
    </row>
    <row r="74" spans="3:9" x14ac:dyDescent="0.2">
      <c r="C74" s="49"/>
      <c r="D74" s="50"/>
    </row>
    <row r="75" spans="3:9" x14ac:dyDescent="0.2">
      <c r="C75" s="49"/>
      <c r="D75" s="50"/>
    </row>
    <row r="76" spans="3:9" x14ac:dyDescent="0.2">
      <c r="C76" s="49"/>
      <c r="D76" s="50"/>
    </row>
  </sheetData>
  <phoneticPr fontId="0" type="noConversion"/>
  <pageMargins left="0.75" right="0.75" top="0.78" bottom="0.62" header="0.37" footer="0.5"/>
  <pageSetup scale="64" orientation="landscape" horizontalDpi="4294967293" verticalDpi="300" r:id="rId1"/>
  <headerFooter alignWithMargins="0">
    <oddHeader>&amp;L&amp;"Arial,Bold"&amp;14City of Monroe - Water and Sewer Enterprise Fund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45"/>
  <sheetViews>
    <sheetView topLeftCell="A4" zoomScaleNormal="100" workbookViewId="0">
      <selection activeCell="M18" sqref="M18"/>
    </sheetView>
  </sheetViews>
  <sheetFormatPr defaultColWidth="9.140625" defaultRowHeight="12.75" x14ac:dyDescent="0.2"/>
  <cols>
    <col min="1" max="1" width="9.140625" style="86"/>
    <col min="2" max="2" width="38.85546875" style="86" customWidth="1"/>
    <col min="3" max="3" width="11.140625" style="86" customWidth="1"/>
    <col min="4" max="4" width="11" style="86" customWidth="1"/>
    <col min="5" max="5" width="12.28515625" style="86" customWidth="1"/>
    <col min="6" max="6" width="12" style="86" customWidth="1"/>
    <col min="7" max="16384" width="9.140625" style="86"/>
  </cols>
  <sheetData>
    <row r="3" spans="1:7" s="83" customFormat="1" x14ac:dyDescent="0.2">
      <c r="A3" s="80"/>
      <c r="B3" s="81" t="s">
        <v>88</v>
      </c>
      <c r="C3" s="82"/>
      <c r="D3" s="82"/>
    </row>
    <row r="4" spans="1:7" x14ac:dyDescent="0.2">
      <c r="A4" s="37"/>
      <c r="B4" s="84"/>
      <c r="C4" s="85"/>
      <c r="D4" s="85"/>
    </row>
    <row r="5" spans="1:7" ht="13.5" thickBot="1" x14ac:dyDescent="0.25">
      <c r="B5" s="87" t="s">
        <v>9</v>
      </c>
      <c r="C5" s="88" t="s">
        <v>5</v>
      </c>
      <c r="D5" s="88" t="s">
        <v>6</v>
      </c>
      <c r="E5" s="112" t="s">
        <v>158</v>
      </c>
      <c r="F5" s="112"/>
    </row>
    <row r="6" spans="1:7" x14ac:dyDescent="0.2">
      <c r="C6" s="89"/>
      <c r="D6" s="89"/>
      <c r="E6" s="113"/>
      <c r="F6" s="113"/>
    </row>
    <row r="7" spans="1:7" x14ac:dyDescent="0.2">
      <c r="B7" s="90" t="s">
        <v>79</v>
      </c>
      <c r="C7" s="89">
        <f>'Stores &amp; Services Fund'!J37</f>
        <v>371200</v>
      </c>
      <c r="D7" s="89"/>
      <c r="E7" s="36"/>
      <c r="F7" s="35">
        <f>'Stores &amp; Services Fund'!R28</f>
        <v>126500</v>
      </c>
      <c r="G7" s="21" t="s">
        <v>10</v>
      </c>
    </row>
    <row r="8" spans="1:7" x14ac:dyDescent="0.2">
      <c r="B8" s="90" t="s">
        <v>159</v>
      </c>
      <c r="C8" s="89"/>
      <c r="D8" s="89">
        <f>C7-D9-D10-D11</f>
        <v>940</v>
      </c>
      <c r="E8" s="34"/>
      <c r="F8" s="39">
        <f>D8</f>
        <v>940</v>
      </c>
      <c r="G8" s="21" t="s">
        <v>11</v>
      </c>
    </row>
    <row r="9" spans="1:7" x14ac:dyDescent="0.2">
      <c r="B9" s="90" t="s">
        <v>89</v>
      </c>
      <c r="C9" s="89"/>
      <c r="D9" s="89">
        <f>'Stores &amp; Services Fund'!M37</f>
        <v>345460</v>
      </c>
      <c r="E9" s="34"/>
      <c r="F9" s="39"/>
      <c r="G9" s="21"/>
    </row>
    <row r="10" spans="1:7" x14ac:dyDescent="0.2">
      <c r="B10" s="90" t="s">
        <v>90</v>
      </c>
      <c r="C10" s="89"/>
      <c r="D10" s="89">
        <f>'Stores &amp; Services Fund'!Q37</f>
        <v>9200</v>
      </c>
      <c r="E10" s="34"/>
      <c r="F10" s="39"/>
    </row>
    <row r="11" spans="1:7" x14ac:dyDescent="0.2">
      <c r="B11" s="90" t="s">
        <v>80</v>
      </c>
      <c r="C11" s="89"/>
      <c r="D11" s="89">
        <f>'Stores &amp; Services Fund'!U37</f>
        <v>15600</v>
      </c>
      <c r="E11" s="43"/>
      <c r="F11" s="44">
        <f>SUM(F7:F10)-SUM(E7:E10)</f>
        <v>127440</v>
      </c>
    </row>
    <row r="12" spans="1:7" x14ac:dyDescent="0.2">
      <c r="B12" s="90"/>
      <c r="C12" s="89"/>
      <c r="D12" s="89"/>
    </row>
    <row r="13" spans="1:7" x14ac:dyDescent="0.2">
      <c r="B13" s="90"/>
      <c r="C13" s="91"/>
      <c r="D13" s="92"/>
      <c r="E13" s="48"/>
      <c r="F13" s="48"/>
      <c r="G13" s="93"/>
    </row>
    <row r="14" spans="1:7" ht="45.75" thickBot="1" x14ac:dyDescent="0.25">
      <c r="A14" s="94"/>
      <c r="B14" s="95"/>
      <c r="C14" s="96" t="s">
        <v>160</v>
      </c>
      <c r="D14" s="97" t="s">
        <v>81</v>
      </c>
      <c r="E14" s="97" t="s">
        <v>82</v>
      </c>
      <c r="F14" s="97" t="s">
        <v>83</v>
      </c>
      <c r="G14" s="98"/>
    </row>
    <row r="15" spans="1:7" x14ac:dyDescent="0.2">
      <c r="B15" s="90" t="s">
        <v>161</v>
      </c>
      <c r="C15" s="89"/>
      <c r="D15" s="90"/>
      <c r="E15" s="90"/>
      <c r="F15" s="90"/>
      <c r="G15" s="21"/>
    </row>
    <row r="16" spans="1:7" x14ac:dyDescent="0.2">
      <c r="B16" s="90" t="s">
        <v>84</v>
      </c>
      <c r="C16" s="89">
        <f>'Stores &amp; Services Fund'!U10+'Stores &amp; Services Fund'!I19+'Stores &amp; Services Fund'!Q19</f>
        <v>148000</v>
      </c>
      <c r="D16" s="90"/>
      <c r="E16" s="90"/>
      <c r="F16" s="99">
        <f>SUM(C16:E16)</f>
        <v>148000</v>
      </c>
      <c r="G16" s="21"/>
    </row>
    <row r="17" spans="1:9" x14ac:dyDescent="0.2">
      <c r="B17" s="90" t="s">
        <v>85</v>
      </c>
      <c r="C17" s="89">
        <f>-('Stores &amp; Services Fund'!N19+'Stores &amp; Services Fund'!V19)</f>
        <v>-73600</v>
      </c>
      <c r="D17" s="90"/>
      <c r="E17" s="90"/>
      <c r="F17" s="99">
        <f>SUM(C17:E17)</f>
        <v>-73600</v>
      </c>
      <c r="G17" s="21"/>
    </row>
    <row r="18" spans="1:9" x14ac:dyDescent="0.2">
      <c r="B18" s="90" t="s">
        <v>86</v>
      </c>
      <c r="C18" s="89">
        <f>-'Stores &amp; Services Fund'!N28</f>
        <v>-15000</v>
      </c>
      <c r="D18" s="90"/>
      <c r="E18" s="90"/>
      <c r="F18" s="99">
        <f>SUM(C18:E18)</f>
        <v>-15000</v>
      </c>
      <c r="G18" s="21"/>
    </row>
    <row r="19" spans="1:9" x14ac:dyDescent="0.2">
      <c r="B19" s="90" t="s">
        <v>87</v>
      </c>
      <c r="C19" s="89"/>
      <c r="D19" s="90">
        <v>0</v>
      </c>
      <c r="E19" s="90"/>
      <c r="F19" s="99">
        <f>SUM(C19:E19)</f>
        <v>0</v>
      </c>
      <c r="G19" s="21"/>
    </row>
    <row r="20" spans="1:9" x14ac:dyDescent="0.2">
      <c r="B20" s="90" t="s">
        <v>82</v>
      </c>
      <c r="C20" s="100"/>
      <c r="D20" s="101"/>
      <c r="E20" s="102">
        <f>F11-C21-D21</f>
        <v>68040</v>
      </c>
      <c r="F20" s="99">
        <f>SUM(C20:E20)</f>
        <v>68040</v>
      </c>
      <c r="G20" s="21"/>
    </row>
    <row r="21" spans="1:9" ht="13.5" thickBot="1" x14ac:dyDescent="0.25">
      <c r="C21" s="103">
        <f>SUM(C15:C20)</f>
        <v>59400</v>
      </c>
      <c r="D21" s="103">
        <f>SUM(D15:D20)</f>
        <v>0</v>
      </c>
      <c r="E21" s="103">
        <f>SUM(E15:E20)</f>
        <v>68040</v>
      </c>
      <c r="F21" s="103">
        <f>SUM(F15:F20)</f>
        <v>127440</v>
      </c>
      <c r="G21" s="21"/>
    </row>
    <row r="22" spans="1:9" ht="13.5" thickTop="1" x14ac:dyDescent="0.2">
      <c r="C22" s="89"/>
      <c r="D22" s="90"/>
      <c r="E22" s="90"/>
      <c r="F22" s="90"/>
      <c r="G22" s="21"/>
    </row>
    <row r="23" spans="1:9" ht="13.5" thickBot="1" x14ac:dyDescent="0.25">
      <c r="A23" s="104"/>
      <c r="B23" s="104"/>
      <c r="C23" s="105"/>
      <c r="D23" s="106"/>
      <c r="E23" s="106"/>
      <c r="F23" s="106"/>
      <c r="G23" s="107"/>
      <c r="H23" s="104"/>
    </row>
    <row r="24" spans="1:9" ht="36.75" customHeight="1" thickTop="1" x14ac:dyDescent="0.2">
      <c r="A24" s="108"/>
      <c r="B24" s="109" t="s">
        <v>91</v>
      </c>
      <c r="C24" s="110"/>
      <c r="D24" s="110"/>
      <c r="E24" s="111"/>
      <c r="F24" s="111"/>
      <c r="G24" s="111"/>
      <c r="H24" s="111"/>
      <c r="I24" s="83"/>
    </row>
    <row r="25" spans="1:9" x14ac:dyDescent="0.2">
      <c r="A25" s="37"/>
      <c r="B25" s="84"/>
      <c r="C25" s="85"/>
      <c r="D25" s="85"/>
    </row>
    <row r="26" spans="1:9" ht="13.5" thickBot="1" x14ac:dyDescent="0.25">
      <c r="B26" s="87" t="s">
        <v>9</v>
      </c>
      <c r="C26" s="88" t="s">
        <v>5</v>
      </c>
      <c r="D26" s="88" t="s">
        <v>6</v>
      </c>
      <c r="E26" s="112" t="s">
        <v>158</v>
      </c>
      <c r="F26" s="112"/>
    </row>
    <row r="27" spans="1:9" x14ac:dyDescent="0.2">
      <c r="C27" s="89"/>
      <c r="D27" s="89"/>
      <c r="E27" s="113"/>
      <c r="F27" s="113"/>
    </row>
    <row r="28" spans="1:9" x14ac:dyDescent="0.2">
      <c r="B28" s="90" t="s">
        <v>79</v>
      </c>
      <c r="C28" s="89">
        <f>'Water &amp; Sewer Fund'!V39</f>
        <v>1033500</v>
      </c>
      <c r="D28" s="89"/>
      <c r="E28" s="36"/>
      <c r="F28" s="35">
        <f>'Water &amp; Sewer Fund'!R39</f>
        <v>959000</v>
      </c>
      <c r="G28" s="21" t="s">
        <v>10</v>
      </c>
    </row>
    <row r="29" spans="1:9" x14ac:dyDescent="0.2">
      <c r="B29" s="90" t="s">
        <v>159</v>
      </c>
      <c r="C29" s="89"/>
      <c r="D29" s="89">
        <f>C28-D30-D31-D32-D33-D34</f>
        <v>14000</v>
      </c>
      <c r="E29" s="34"/>
      <c r="F29" s="39">
        <f>D29</f>
        <v>14000</v>
      </c>
      <c r="G29" s="21" t="s">
        <v>11</v>
      </c>
    </row>
    <row r="30" spans="1:9" x14ac:dyDescent="0.2">
      <c r="B30" s="90" t="s">
        <v>89</v>
      </c>
      <c r="C30" s="89"/>
      <c r="D30" s="89">
        <f>'Water &amp; Sewer Fund'!I47</f>
        <v>430700</v>
      </c>
      <c r="E30" s="34"/>
      <c r="F30" s="39"/>
      <c r="G30" s="21"/>
    </row>
    <row r="31" spans="1:9" x14ac:dyDescent="0.2">
      <c r="B31" s="90" t="s">
        <v>92</v>
      </c>
      <c r="C31" s="89"/>
      <c r="D31" s="89">
        <f>'Water &amp; Sewer Fund'!M47</f>
        <v>58900</v>
      </c>
      <c r="E31" s="34"/>
      <c r="F31" s="39"/>
      <c r="G31" s="21"/>
    </row>
    <row r="32" spans="1:9" x14ac:dyDescent="0.2">
      <c r="B32" s="90" t="s">
        <v>90</v>
      </c>
      <c r="C32" s="89"/>
      <c r="D32" s="89">
        <f>'Water &amp; Sewer Fund'!Q47</f>
        <v>109400</v>
      </c>
      <c r="E32" s="34"/>
      <c r="F32" s="39"/>
      <c r="G32" s="21"/>
    </row>
    <row r="33" spans="1:7" x14ac:dyDescent="0.2">
      <c r="B33" s="90" t="s">
        <v>80</v>
      </c>
      <c r="C33" s="89"/>
      <c r="D33" s="89">
        <f>'Water &amp; Sewer Fund'!U47</f>
        <v>275000</v>
      </c>
      <c r="E33" s="34"/>
      <c r="F33" s="39"/>
    </row>
    <row r="34" spans="1:7" x14ac:dyDescent="0.2">
      <c r="B34" s="90" t="s">
        <v>148</v>
      </c>
      <c r="C34" s="89"/>
      <c r="D34" s="89">
        <f>'Water &amp; Sewer Fund'!I54</f>
        <v>145500</v>
      </c>
      <c r="E34" s="43"/>
      <c r="F34" s="44">
        <f>SUM(F28:F33)-SUM(E28:E33)</f>
        <v>973000</v>
      </c>
    </row>
    <row r="35" spans="1:7" x14ac:dyDescent="0.2">
      <c r="B35" s="90"/>
      <c r="C35" s="89"/>
      <c r="D35" s="89"/>
    </row>
    <row r="36" spans="1:7" x14ac:dyDescent="0.2">
      <c r="B36" s="90"/>
      <c r="C36" s="91"/>
      <c r="D36" s="92"/>
      <c r="E36" s="48"/>
      <c r="F36" s="48"/>
      <c r="G36" s="93"/>
    </row>
    <row r="37" spans="1:7" ht="45.75" thickBot="1" x14ac:dyDescent="0.25">
      <c r="A37" s="94"/>
      <c r="B37" s="95"/>
      <c r="C37" s="96" t="s">
        <v>160</v>
      </c>
      <c r="D37" s="97" t="s">
        <v>81</v>
      </c>
      <c r="E37" s="97" t="s">
        <v>82</v>
      </c>
      <c r="F37" s="97" t="s">
        <v>83</v>
      </c>
      <c r="G37" s="98"/>
    </row>
    <row r="38" spans="1:7" x14ac:dyDescent="0.2">
      <c r="B38" s="90" t="s">
        <v>161</v>
      </c>
      <c r="C38" s="89"/>
      <c r="D38" s="90"/>
      <c r="E38" s="90"/>
      <c r="F38" s="90"/>
      <c r="G38" s="21"/>
    </row>
    <row r="39" spans="1:7" x14ac:dyDescent="0.2">
      <c r="B39" s="90" t="s">
        <v>84</v>
      </c>
      <c r="C39" s="89">
        <f>'Water &amp; Sewer Fund'!Q20+'Water &amp; Sewer Fund'!I30</f>
        <v>4519300</v>
      </c>
      <c r="D39" s="90"/>
      <c r="E39" s="90"/>
      <c r="F39" s="99">
        <f>SUM(C39:E39)</f>
        <v>4519300</v>
      </c>
      <c r="G39" s="21"/>
    </row>
    <row r="40" spans="1:7" x14ac:dyDescent="0.2">
      <c r="B40" s="90" t="s">
        <v>85</v>
      </c>
      <c r="C40" s="89">
        <f>-'Water &amp; Sewer Fund'!V20</f>
        <v>-1475000</v>
      </c>
      <c r="D40" s="90"/>
      <c r="E40" s="90"/>
      <c r="F40" s="99">
        <f>SUM(C40:E40)</f>
        <v>-1475000</v>
      </c>
      <c r="G40" s="21"/>
    </row>
    <row r="41" spans="1:7" x14ac:dyDescent="0.2">
      <c r="B41" s="90" t="s">
        <v>93</v>
      </c>
      <c r="C41" s="89">
        <f>-'Water &amp; Sewer Fund'!N39</f>
        <v>-2500000</v>
      </c>
      <c r="D41" s="90"/>
      <c r="E41" s="90"/>
      <c r="F41" s="99">
        <f>SUM(C41:E41)</f>
        <v>-2500000</v>
      </c>
      <c r="G41" s="21"/>
    </row>
    <row r="42" spans="1:7" x14ac:dyDescent="0.2">
      <c r="B42" s="90" t="s">
        <v>87</v>
      </c>
      <c r="C42" s="89"/>
      <c r="D42" s="99">
        <f>'Water &amp; Sewer Fund'!M30</f>
        <v>142000</v>
      </c>
      <c r="E42" s="90"/>
      <c r="F42" s="99">
        <f>SUM(C42:E42)</f>
        <v>142000</v>
      </c>
      <c r="G42" s="21"/>
    </row>
    <row r="43" spans="1:7" x14ac:dyDescent="0.2">
      <c r="B43" s="90" t="s">
        <v>82</v>
      </c>
      <c r="C43" s="100"/>
      <c r="D43" s="101"/>
      <c r="E43" s="102">
        <f>F34-C44-D44</f>
        <v>286700</v>
      </c>
      <c r="F43" s="99">
        <f>SUM(C43:E43)</f>
        <v>286700</v>
      </c>
      <c r="G43" s="21"/>
    </row>
    <row r="44" spans="1:7" ht="13.5" thickBot="1" x14ac:dyDescent="0.25">
      <c r="C44" s="103">
        <f>SUM(C38:C43)</f>
        <v>544300</v>
      </c>
      <c r="D44" s="103">
        <f>SUM(D38:D43)</f>
        <v>142000</v>
      </c>
      <c r="E44" s="103">
        <f>SUM(E38:E43)</f>
        <v>286700</v>
      </c>
      <c r="F44" s="103">
        <f>SUM(F38:F43)</f>
        <v>973000</v>
      </c>
      <c r="G44" s="21"/>
    </row>
    <row r="45" spans="1:7" ht="13.5" thickTop="1" x14ac:dyDescent="0.2"/>
  </sheetData>
  <mergeCells count="2">
    <mergeCell ref="E5:F6"/>
    <mergeCell ref="E26:F27"/>
  </mergeCells>
  <phoneticPr fontId="0" type="noConversion"/>
  <pageMargins left="0.75" right="0.75" top="1.37" bottom="1" header="0.5" footer="0.5"/>
  <pageSetup scale="67" orientation="landscape" horizontalDpi="4294967293" verticalDpi="300" r:id="rId1"/>
  <headerFooter alignWithMargins="0">
    <oddHeader>&amp;L&amp;14City of Monroe&amp;C&amp;14   
PROPRIETARY FUNDS- Closing Entries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zoomScaleNormal="100" workbookViewId="0">
      <selection activeCell="F2" sqref="F2"/>
    </sheetView>
  </sheetViews>
  <sheetFormatPr defaultColWidth="9.140625" defaultRowHeight="15.75" x14ac:dyDescent="0.25"/>
  <cols>
    <col min="1" max="1" width="27" style="3" customWidth="1"/>
    <col min="2" max="2" width="7" style="3" customWidth="1"/>
    <col min="3" max="3" width="18" style="3" customWidth="1"/>
    <col min="4" max="4" width="4.28515625" style="3" customWidth="1"/>
    <col min="5" max="5" width="18" style="3" customWidth="1"/>
    <col min="6" max="16384" width="9.140625" style="3"/>
  </cols>
  <sheetData>
    <row r="1" spans="1:5" s="7" customFormat="1" ht="65.25" customHeight="1" x14ac:dyDescent="0.25">
      <c r="C1" s="7" t="s">
        <v>94</v>
      </c>
      <c r="E1" s="7" t="s">
        <v>95</v>
      </c>
    </row>
    <row r="2" spans="1:5" x14ac:dyDescent="0.25">
      <c r="A2" s="2"/>
    </row>
    <row r="3" spans="1:5" x14ac:dyDescent="0.25">
      <c r="A3" s="10" t="s">
        <v>96</v>
      </c>
    </row>
    <row r="4" spans="1:5" x14ac:dyDescent="0.25">
      <c r="A4" s="3" t="s">
        <v>97</v>
      </c>
      <c r="C4" s="4">
        <f>'Water &amp; Sewer Fund'!V39</f>
        <v>1033500</v>
      </c>
      <c r="E4" s="4">
        <f>'Stores &amp; Services Fund'!J37</f>
        <v>371200</v>
      </c>
    </row>
    <row r="5" spans="1:5" x14ac:dyDescent="0.25">
      <c r="A5" s="3" t="s">
        <v>98</v>
      </c>
      <c r="C5" s="9">
        <f>SUM(C4:C4)</f>
        <v>1033500</v>
      </c>
      <c r="E5" s="9">
        <f>SUM(E4:E4)</f>
        <v>371200</v>
      </c>
    </row>
    <row r="7" spans="1:5" x14ac:dyDescent="0.25">
      <c r="A7" s="1" t="s">
        <v>99</v>
      </c>
    </row>
    <row r="8" spans="1:5" x14ac:dyDescent="0.25">
      <c r="A8" s="3" t="s">
        <v>100</v>
      </c>
      <c r="C8" s="3">
        <f>'Water &amp; Sewer Fund'!I47</f>
        <v>430700</v>
      </c>
      <c r="E8" s="3">
        <f>'Stores &amp; Services Fund'!M37</f>
        <v>345460</v>
      </c>
    </row>
    <row r="9" spans="1:5" x14ac:dyDescent="0.25">
      <c r="A9" s="3" t="s">
        <v>101</v>
      </c>
      <c r="C9" s="3">
        <f>'Water &amp; Sewer Fund'!M47</f>
        <v>58900</v>
      </c>
    </row>
    <row r="10" spans="1:5" x14ac:dyDescent="0.25">
      <c r="A10" s="3" t="s">
        <v>102</v>
      </c>
      <c r="C10" s="3">
        <f>'Water &amp; Sewer Fund'!Q47</f>
        <v>109400</v>
      </c>
      <c r="E10" s="3">
        <f>'Stores &amp; Services Fund'!Q37</f>
        <v>9200</v>
      </c>
    </row>
    <row r="11" spans="1:5" x14ac:dyDescent="0.25">
      <c r="A11" s="3" t="s">
        <v>103</v>
      </c>
      <c r="C11" s="3">
        <f>'Water &amp; Sewer Fund'!U47</f>
        <v>275000</v>
      </c>
      <c r="E11" s="3">
        <f>'Stores &amp; Services Fund'!U37</f>
        <v>15600</v>
      </c>
    </row>
    <row r="12" spans="1:5" x14ac:dyDescent="0.25">
      <c r="A12" s="3" t="s">
        <v>104</v>
      </c>
      <c r="C12" s="9">
        <f>SUM(C8:C11)</f>
        <v>874000</v>
      </c>
      <c r="E12" s="9">
        <f>SUM(E8:E11)</f>
        <v>370260</v>
      </c>
    </row>
    <row r="13" spans="1:5" ht="26.25" customHeight="1" x14ac:dyDescent="0.25">
      <c r="A13" s="3" t="s">
        <v>105</v>
      </c>
      <c r="C13" s="9">
        <f>C5-C12</f>
        <v>159500</v>
      </c>
      <c r="E13" s="9">
        <f>E5-E12</f>
        <v>940</v>
      </c>
    </row>
    <row r="14" spans="1:5" x14ac:dyDescent="0.25">
      <c r="B14" s="1"/>
    </row>
    <row r="15" spans="1:5" x14ac:dyDescent="0.25">
      <c r="A15" s="1" t="s">
        <v>106</v>
      </c>
    </row>
    <row r="16" spans="1:5" x14ac:dyDescent="0.25">
      <c r="A16" s="3" t="s">
        <v>107</v>
      </c>
      <c r="C16" s="5">
        <f>'Water &amp; Sewer Fund'!I54</f>
        <v>145500</v>
      </c>
      <c r="E16" s="5">
        <v>0</v>
      </c>
    </row>
    <row r="17" spans="1:5" ht="32.25" customHeight="1" x14ac:dyDescent="0.25">
      <c r="A17" s="3" t="s">
        <v>162</v>
      </c>
      <c r="C17" s="3">
        <f>C13-C16</f>
        <v>14000</v>
      </c>
      <c r="E17" s="3">
        <f>E13-E16</f>
        <v>940</v>
      </c>
    </row>
    <row r="18" spans="1:5" x14ac:dyDescent="0.25">
      <c r="A18" s="3" t="s">
        <v>163</v>
      </c>
      <c r="C18" s="3">
        <f>'Water &amp; Sewer Fund'!R39</f>
        <v>959000</v>
      </c>
      <c r="E18" s="3">
        <f>'Stores &amp; Services Fund'!R28</f>
        <v>126500</v>
      </c>
    </row>
    <row r="19" spans="1:5" ht="16.5" thickBot="1" x14ac:dyDescent="0.3">
      <c r="A19" s="3" t="s">
        <v>164</v>
      </c>
      <c r="C19" s="6">
        <f>SUM(C17:C18)</f>
        <v>973000</v>
      </c>
      <c r="E19" s="6">
        <f>SUM(E17:E18)</f>
        <v>127440</v>
      </c>
    </row>
    <row r="20" spans="1:5" ht="16.5" thickTop="1" x14ac:dyDescent="0.25"/>
  </sheetData>
  <phoneticPr fontId="11" type="noConversion"/>
  <pageMargins left="0.77" right="0.75" top="1.98" bottom="0.6" header="0.81" footer="0.5"/>
  <pageSetup orientation="portrait" horizontalDpi="4294967293" verticalDpi="300" r:id="rId1"/>
  <headerFooter alignWithMargins="0">
    <oddHeader>&amp;L&amp;"Times New Roman,Regular"&amp;14City of Monroe
Statement of Revenues, Expenses and Changes in Fund Net Position
Proprietary-type Funds
For the year ended December 31, 2015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zoomScaleNormal="100" workbookViewId="0">
      <selection activeCell="G9" sqref="G9"/>
    </sheetView>
  </sheetViews>
  <sheetFormatPr defaultColWidth="9.140625" defaultRowHeight="15.75" x14ac:dyDescent="0.25"/>
  <cols>
    <col min="1" max="1" width="27" style="3" customWidth="1"/>
    <col min="2" max="2" width="17" style="3" customWidth="1"/>
    <col min="3" max="3" width="18" style="3" customWidth="1"/>
    <col min="4" max="4" width="4.28515625" style="3" customWidth="1"/>
    <col min="5" max="5" width="18" style="3" customWidth="1"/>
    <col min="6" max="9" width="9.140625" style="3"/>
    <col min="10" max="10" width="9.85546875" style="3" bestFit="1" customWidth="1"/>
    <col min="11" max="16384" width="9.140625" style="3"/>
  </cols>
  <sheetData>
    <row r="1" spans="1:5" s="7" customFormat="1" ht="65.25" customHeight="1" x14ac:dyDescent="0.25">
      <c r="C1" s="7" t="s">
        <v>94</v>
      </c>
      <c r="E1" s="7" t="s">
        <v>108</v>
      </c>
    </row>
    <row r="2" spans="1:5" x14ac:dyDescent="0.25">
      <c r="A2" s="2" t="s">
        <v>109</v>
      </c>
    </row>
    <row r="3" spans="1:5" x14ac:dyDescent="0.25">
      <c r="A3" s="10" t="s">
        <v>110</v>
      </c>
    </row>
    <row r="4" spans="1:5" x14ac:dyDescent="0.25">
      <c r="A4" s="3" t="s">
        <v>4</v>
      </c>
      <c r="C4" s="4">
        <f>'Water &amp; Sewer Fund'!I10</f>
        <v>99500</v>
      </c>
      <c r="E4" s="4">
        <f>'Stores &amp; Services Fund'!I10</f>
        <v>47300</v>
      </c>
    </row>
    <row r="5" spans="1:5" x14ac:dyDescent="0.25">
      <c r="A5" s="3" t="s">
        <v>111</v>
      </c>
      <c r="C5" s="3">
        <f>'Water &amp; Sewer Fund'!M10-'Water &amp; Sewer Fund'!R10</f>
        <v>107500</v>
      </c>
    </row>
    <row r="6" spans="1:5" x14ac:dyDescent="0.25">
      <c r="A6" s="3" t="s">
        <v>70</v>
      </c>
      <c r="C6" s="3">
        <f>'Water &amp; Sewer Fund'!U10</f>
        <v>37000</v>
      </c>
      <c r="E6" s="3">
        <f>'Stores &amp; Services Fund'!Q10</f>
        <v>11200</v>
      </c>
    </row>
    <row r="7" spans="1:5" x14ac:dyDescent="0.25">
      <c r="A7" s="3" t="s">
        <v>112</v>
      </c>
      <c r="C7" s="3">
        <f>'Water &amp; Sewer Fund'!I20</f>
        <v>95100</v>
      </c>
      <c r="E7" s="3">
        <f>'Stores &amp; Services Fund'!M10</f>
        <v>34040</v>
      </c>
    </row>
    <row r="8" spans="1:5" x14ac:dyDescent="0.25">
      <c r="A8" s="3" t="s">
        <v>98</v>
      </c>
      <c r="C8" s="9">
        <f>SUM(C4:C7)</f>
        <v>339100</v>
      </c>
      <c r="E8" s="9">
        <f>SUM(E4:E7)</f>
        <v>92540</v>
      </c>
    </row>
    <row r="10" spans="1:5" x14ac:dyDescent="0.25">
      <c r="A10" s="1" t="s">
        <v>113</v>
      </c>
    </row>
    <row r="11" spans="1:5" x14ac:dyDescent="0.25">
      <c r="A11" s="3" t="s">
        <v>114</v>
      </c>
      <c r="C11" s="3">
        <f>'Water &amp; Sewer Fund'!M20</f>
        <v>15000</v>
      </c>
    </row>
    <row r="12" spans="1:5" x14ac:dyDescent="0.25">
      <c r="A12" s="3" t="s">
        <v>169</v>
      </c>
      <c r="C12" s="3">
        <f>'Water &amp; Sewer Fund'!M30</f>
        <v>142000</v>
      </c>
    </row>
    <row r="13" spans="1:5" x14ac:dyDescent="0.25">
      <c r="A13" s="3" t="s">
        <v>115</v>
      </c>
      <c r="C13" s="3">
        <f>'Water &amp; Sewer Fund'!Q20-'Water &amp; Sewer Fund'!V20+'Water &amp; Sewer Fund'!I30</f>
        <v>3044300</v>
      </c>
      <c r="E13" s="3">
        <f>'Stores &amp; Services Fund'!I19-'Stores &amp; Services Fund'!N19+'Stores &amp; Services Fund'!Q19-'Stores &amp; Services Fund'!V19+'Stores &amp; Services Fund'!U10</f>
        <v>74400</v>
      </c>
    </row>
    <row r="14" spans="1:5" x14ac:dyDescent="0.25">
      <c r="A14" s="3" t="s">
        <v>116</v>
      </c>
      <c r="C14" s="9">
        <f>SUM(C11:C13)</f>
        <v>3201300</v>
      </c>
      <c r="E14" s="9">
        <f>SUM(E11:E13)</f>
        <v>74400</v>
      </c>
    </row>
    <row r="15" spans="1:5" x14ac:dyDescent="0.25">
      <c r="A15" s="3" t="s">
        <v>117</v>
      </c>
      <c r="C15" s="9">
        <f>C8+C14</f>
        <v>3540400</v>
      </c>
      <c r="D15" s="5"/>
      <c r="E15" s="9">
        <f>E8+E14</f>
        <v>166940</v>
      </c>
    </row>
    <row r="16" spans="1:5" x14ac:dyDescent="0.25">
      <c r="B16" s="1"/>
      <c r="C16" s="8"/>
      <c r="D16" s="8"/>
      <c r="E16" s="8"/>
    </row>
    <row r="17" spans="1:5" x14ac:dyDescent="0.25">
      <c r="A17" s="2" t="s">
        <v>118</v>
      </c>
    </row>
    <row r="18" spans="1:5" x14ac:dyDescent="0.25">
      <c r="A18" s="1" t="s">
        <v>119</v>
      </c>
    </row>
    <row r="19" spans="1:5" x14ac:dyDescent="0.25">
      <c r="A19" s="3" t="s">
        <v>45</v>
      </c>
      <c r="C19" s="3">
        <f>'Water &amp; Sewer Fund'!R30</f>
        <v>56100</v>
      </c>
      <c r="E19" s="3">
        <f>'Stores &amp; Services Fund'!J28</f>
        <v>24500</v>
      </c>
    </row>
    <row r="20" spans="1:5" x14ac:dyDescent="0.25">
      <c r="A20" s="3" t="s">
        <v>50</v>
      </c>
      <c r="C20" s="3">
        <f>'Water &amp; Sewer Fund'!V30</f>
        <v>3300</v>
      </c>
    </row>
    <row r="21" spans="1:5" x14ac:dyDescent="0.25">
      <c r="A21" s="3" t="s">
        <v>120</v>
      </c>
      <c r="C21" s="3">
        <f>'Water &amp; Sewer Fund'!J39</f>
        <v>8000</v>
      </c>
    </row>
    <row r="22" spans="1:5" x14ac:dyDescent="0.25">
      <c r="A22" s="3" t="s">
        <v>121</v>
      </c>
      <c r="C22" s="9">
        <f>SUM(C18:C21)</f>
        <v>67400</v>
      </c>
      <c r="E22" s="9">
        <f>SUM(E18:E21)</f>
        <v>24500</v>
      </c>
    </row>
    <row r="24" spans="1:5" x14ac:dyDescent="0.25">
      <c r="A24" s="1" t="s">
        <v>122</v>
      </c>
    </row>
    <row r="25" spans="1:5" x14ac:dyDescent="0.25">
      <c r="A25" s="3" t="s">
        <v>123</v>
      </c>
      <c r="C25" s="3">
        <f>'Water &amp; Sewer Fund'!N39</f>
        <v>2500000</v>
      </c>
    </row>
    <row r="26" spans="1:5" x14ac:dyDescent="0.25">
      <c r="A26" s="3" t="s">
        <v>124</v>
      </c>
      <c r="E26" s="3">
        <f>'Stores &amp; Services Fund'!N28</f>
        <v>15000</v>
      </c>
    </row>
    <row r="27" spans="1:5" x14ac:dyDescent="0.25">
      <c r="A27" s="3" t="s">
        <v>125</v>
      </c>
      <c r="C27" s="9">
        <f>SUM(C24:C26)</f>
        <v>2500000</v>
      </c>
      <c r="E27" s="9">
        <f>SUM(E24:E26)</f>
        <v>15000</v>
      </c>
    </row>
    <row r="28" spans="1:5" x14ac:dyDescent="0.25">
      <c r="A28" s="3" t="s">
        <v>126</v>
      </c>
      <c r="C28" s="9">
        <f>C22+C27</f>
        <v>2567400</v>
      </c>
      <c r="E28" s="9">
        <f>E22+E27</f>
        <v>39500</v>
      </c>
    </row>
    <row r="30" spans="1:5" x14ac:dyDescent="0.25">
      <c r="A30" s="1" t="s">
        <v>166</v>
      </c>
    </row>
    <row r="31" spans="1:5" x14ac:dyDescent="0.25">
      <c r="A31" s="3" t="s">
        <v>161</v>
      </c>
      <c r="C31" s="3">
        <f>'Closing Entries'!C44</f>
        <v>544300</v>
      </c>
      <c r="E31" s="3">
        <f>'Closing Entries'!C21</f>
        <v>59400</v>
      </c>
    </row>
    <row r="32" spans="1:5" x14ac:dyDescent="0.25">
      <c r="A32" s="3" t="s">
        <v>87</v>
      </c>
      <c r="C32" s="3">
        <f>'Closing Entries'!D44</f>
        <v>142000</v>
      </c>
      <c r="E32" s="3">
        <f>'Closing Entries'!D21</f>
        <v>0</v>
      </c>
    </row>
    <row r="33" spans="1:5" x14ac:dyDescent="0.25">
      <c r="A33" s="3" t="s">
        <v>82</v>
      </c>
      <c r="C33" s="3">
        <f>'Closing Entries'!E44</f>
        <v>286700</v>
      </c>
      <c r="E33" s="3">
        <f>'Closing Entries'!E21</f>
        <v>68040</v>
      </c>
    </row>
    <row r="34" spans="1:5" ht="16.5" thickBot="1" x14ac:dyDescent="0.3">
      <c r="A34" s="3" t="s">
        <v>165</v>
      </c>
      <c r="C34" s="6">
        <f>SUM(C31:C33)</f>
        <v>973000</v>
      </c>
      <c r="E34" s="6">
        <f>SUM(E31:E33)</f>
        <v>127440</v>
      </c>
    </row>
    <row r="35" spans="1:5" ht="16.5" thickTop="1" x14ac:dyDescent="0.25"/>
  </sheetData>
  <phoneticPr fontId="11" type="noConversion"/>
  <pageMargins left="0.75" right="0.56999999999999995" top="1.51" bottom="0.54" header="0.5" footer="0.5"/>
  <pageSetup orientation="portrait" r:id="rId1"/>
  <headerFooter alignWithMargins="0">
    <oddHeader>&amp;L&amp;"Times New Roman,Regular"&amp;14City of Monroe
Statement of Net Position
Proprietary-type Funds
As of December 31, 2015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zoomScaleNormal="100" workbookViewId="0">
      <selection activeCell="B19" sqref="B19"/>
    </sheetView>
  </sheetViews>
  <sheetFormatPr defaultColWidth="9.140625" defaultRowHeight="15.75" x14ac:dyDescent="0.25"/>
  <cols>
    <col min="1" max="1" width="53.28515625" style="3" customWidth="1"/>
    <col min="2" max="2" width="18" style="3" customWidth="1"/>
    <col min="3" max="3" width="4.28515625" style="3" customWidth="1"/>
    <col min="4" max="4" width="18" style="3" customWidth="1"/>
    <col min="5" max="7" width="9.140625" style="3"/>
    <col min="8" max="8" width="9.85546875" style="3" bestFit="1" customWidth="1"/>
    <col min="9" max="16384" width="9.140625" style="3"/>
  </cols>
  <sheetData>
    <row r="1" spans="1:4" s="7" customFormat="1" ht="65.25" customHeight="1" x14ac:dyDescent="0.25">
      <c r="B1" s="7" t="s">
        <v>94</v>
      </c>
      <c r="D1" s="7" t="s">
        <v>95</v>
      </c>
    </row>
    <row r="2" spans="1:4" x14ac:dyDescent="0.25">
      <c r="A2" s="2"/>
    </row>
    <row r="3" spans="1:4" x14ac:dyDescent="0.25">
      <c r="A3" s="10" t="s">
        <v>127</v>
      </c>
    </row>
    <row r="4" spans="1:4" x14ac:dyDescent="0.25">
      <c r="A4" s="3" t="s">
        <v>128</v>
      </c>
      <c r="B4" s="4">
        <f>'Water &amp; Sewer Fund'!I4</f>
        <v>962000</v>
      </c>
      <c r="D4" s="4">
        <f>'Stores &amp; Services Fund'!I5+'Stores &amp; Services Fund'!I6</f>
        <v>387000</v>
      </c>
    </row>
    <row r="5" spans="1:4" x14ac:dyDescent="0.25">
      <c r="A5" s="3" t="s">
        <v>129</v>
      </c>
      <c r="B5" s="3">
        <f>-('Water &amp; Sewer Fund'!J4+'Water &amp; Sewer Fund'!J6+'Water &amp; Sewer Fund'!J7-'Water &amp; Sewer Fund'!E27-'Water &amp; Sewer Fund'!E21)</f>
        <v>-695700</v>
      </c>
      <c r="D5" s="3">
        <f>-'Stores &amp; Services Fund'!J7</f>
        <v>-355700</v>
      </c>
    </row>
    <row r="6" spans="1:4" x14ac:dyDescent="0.25">
      <c r="A6" s="3" t="s">
        <v>130</v>
      </c>
      <c r="B6" s="9">
        <f>SUM(B4:B5)</f>
        <v>266300</v>
      </c>
      <c r="D6" s="9">
        <f>SUM(D4:D5)</f>
        <v>31300</v>
      </c>
    </row>
    <row r="8" spans="1:4" x14ac:dyDescent="0.25">
      <c r="A8" s="1" t="s">
        <v>131</v>
      </c>
    </row>
    <row r="9" spans="1:4" x14ac:dyDescent="0.25">
      <c r="A9" s="3" t="s">
        <v>132</v>
      </c>
      <c r="B9" s="3">
        <f>-('Water &amp; Sewer Fund'!E27+'Water &amp; Sewer Fund'!E21+'Water &amp; Sewer Fund'!E34)</f>
        <v>-116300</v>
      </c>
    </row>
    <row r="10" spans="1:4" x14ac:dyDescent="0.25">
      <c r="A10" s="3" t="s">
        <v>133</v>
      </c>
      <c r="B10" s="3">
        <f>-('Water &amp; Sewer Fund'!E31-'Water &amp; Sewer Fund'!F35)</f>
        <v>-145500</v>
      </c>
    </row>
    <row r="11" spans="1:4" x14ac:dyDescent="0.25">
      <c r="A11" s="3" t="s">
        <v>134</v>
      </c>
      <c r="D11" s="3">
        <f>-'Stores &amp; Services Fund'!J5</f>
        <v>-15000</v>
      </c>
    </row>
    <row r="12" spans="1:4" x14ac:dyDescent="0.25">
      <c r="A12" s="3" t="s">
        <v>135</v>
      </c>
      <c r="B12" s="9">
        <f>SUM(B9:B11)</f>
        <v>-261800</v>
      </c>
      <c r="D12" s="9">
        <f>SUM(D9:D11)</f>
        <v>-15000</v>
      </c>
    </row>
    <row r="14" spans="1:4" x14ac:dyDescent="0.25">
      <c r="A14" s="1" t="s">
        <v>136</v>
      </c>
    </row>
    <row r="15" spans="1:4" x14ac:dyDescent="0.25">
      <c r="A15" s="3" t="s">
        <v>137</v>
      </c>
      <c r="B15" s="5">
        <f>'Water &amp; Sewer Fund'!I5</f>
        <v>15000</v>
      </c>
      <c r="D15" s="5"/>
    </row>
    <row r="16" spans="1:4" x14ac:dyDescent="0.25">
      <c r="A16" s="3" t="s">
        <v>138</v>
      </c>
      <c r="B16" s="9">
        <f>SUM(B13:B15)</f>
        <v>15000</v>
      </c>
      <c r="D16" s="9">
        <f>SUM(D13:D15)</f>
        <v>0</v>
      </c>
    </row>
    <row r="17" spans="1:4" ht="31.5" customHeight="1" x14ac:dyDescent="0.25">
      <c r="A17" s="3" t="s">
        <v>155</v>
      </c>
      <c r="B17" s="11">
        <f>B6+B12+B16</f>
        <v>19500</v>
      </c>
      <c r="D17" s="11">
        <f>D6+D12+D16</f>
        <v>16300</v>
      </c>
    </row>
    <row r="18" spans="1:4" ht="25.5" customHeight="1" x14ac:dyDescent="0.25">
      <c r="A18" s="3" t="s">
        <v>149</v>
      </c>
      <c r="B18" s="3">
        <f>'Water &amp; Sewer Fund'!I3+'Water &amp; Sewer Fund'!M24</f>
        <v>222000</v>
      </c>
      <c r="D18" s="3">
        <f>'Stores &amp; Services Fund'!I4</f>
        <v>31000</v>
      </c>
    </row>
    <row r="19" spans="1:4" ht="16.5" thickBot="1" x14ac:dyDescent="0.3">
      <c r="A19" s="3" t="s">
        <v>150</v>
      </c>
      <c r="B19" s="6">
        <f>SUM(B17:B18)</f>
        <v>241500</v>
      </c>
      <c r="D19" s="6">
        <f>SUM(D17:D18)</f>
        <v>47300</v>
      </c>
    </row>
    <row r="20" spans="1:4" ht="41.25" customHeight="1" thickTop="1" x14ac:dyDescent="0.25"/>
    <row r="21" spans="1:4" x14ac:dyDescent="0.25">
      <c r="A21" s="1" t="s">
        <v>139</v>
      </c>
    </row>
    <row r="22" spans="1:4" ht="21" customHeight="1" x14ac:dyDescent="0.25">
      <c r="A22" s="3" t="s">
        <v>140</v>
      </c>
      <c r="B22" s="4">
        <f>'Stmt of revenues &amp; expenses'!C13</f>
        <v>159500</v>
      </c>
      <c r="D22" s="4">
        <f>'Stmt of revenues &amp; expenses'!E13</f>
        <v>940</v>
      </c>
    </row>
    <row r="23" spans="1:4" s="12" customFormat="1" ht="32.25" customHeight="1" x14ac:dyDescent="0.25">
      <c r="A23" s="12" t="s">
        <v>141</v>
      </c>
    </row>
    <row r="24" spans="1:4" x14ac:dyDescent="0.25">
      <c r="A24" s="3" t="s">
        <v>103</v>
      </c>
      <c r="B24" s="3">
        <f>'Stmt of revenues &amp; expenses'!C11</f>
        <v>275000</v>
      </c>
      <c r="D24" s="3">
        <f>'Stmt of revenues &amp; expenses'!E11</f>
        <v>15600</v>
      </c>
    </row>
    <row r="25" spans="1:4" x14ac:dyDescent="0.25">
      <c r="A25" s="3" t="s">
        <v>142</v>
      </c>
      <c r="B25" s="3">
        <f>('Water &amp; Sewer Fund'!M4-'Water &amp; Sewer Fund'!R4)-('Water &amp; Sewer Fund'!M10-'Water &amp; Sewer Fund'!R10)</f>
        <v>-34500</v>
      </c>
    </row>
    <row r="26" spans="1:4" x14ac:dyDescent="0.25">
      <c r="A26" s="3" t="s">
        <v>143</v>
      </c>
      <c r="B26" s="3">
        <f>'Water &amp; Sewer Fund'!V4-'Water &amp; Sewer Fund'!U10</f>
        <v>-37000</v>
      </c>
      <c r="D26" s="3">
        <f>'Stores &amp; Services Fund'!Q4-'Stores &amp; Services Fund'!Q10</f>
        <v>15800</v>
      </c>
    </row>
    <row r="27" spans="1:4" x14ac:dyDescent="0.25">
      <c r="A27" s="3" t="s">
        <v>144</v>
      </c>
      <c r="B27" s="3">
        <f>'Water &amp; Sewer Fund'!I15-'Water &amp; Sewer Fund'!I20</f>
        <v>-67100</v>
      </c>
      <c r="D27" s="3">
        <f>'Stores &amp; Services Fund'!M4-'Stores &amp; Services Fund'!M10</f>
        <v>-6540</v>
      </c>
    </row>
    <row r="28" spans="1:4" x14ac:dyDescent="0.25">
      <c r="A28" s="3" t="s">
        <v>145</v>
      </c>
      <c r="B28" s="3">
        <f>'Water &amp; Sewer Fund'!R30-'Water &amp; Sewer Fund'!R24</f>
        <v>-40900</v>
      </c>
      <c r="D28" s="3">
        <f>'Stores &amp; Services Fund'!J28-'Stores &amp; Services Fund'!J23</f>
        <v>5500</v>
      </c>
    </row>
    <row r="29" spans="1:4" x14ac:dyDescent="0.25">
      <c r="A29" s="3" t="s">
        <v>146</v>
      </c>
      <c r="B29" s="3">
        <f>'Water &amp; Sewer Fund'!V30-'Water &amp; Sewer Fund'!V24</f>
        <v>3300</v>
      </c>
    </row>
    <row r="30" spans="1:4" x14ac:dyDescent="0.25">
      <c r="A30" s="3" t="s">
        <v>147</v>
      </c>
      <c r="B30" s="3">
        <f>'Water &amp; Sewer Fund'!J39-'Water &amp; Sewer Fund'!J35</f>
        <v>8000</v>
      </c>
    </row>
    <row r="31" spans="1:4" ht="23.25" customHeight="1" thickBot="1" x14ac:dyDescent="0.3">
      <c r="A31" s="3" t="s">
        <v>130</v>
      </c>
      <c r="B31" s="6">
        <f>SUM(B22:B30)</f>
        <v>266300</v>
      </c>
      <c r="D31" s="6">
        <f>SUM(D22:D30)</f>
        <v>31300</v>
      </c>
    </row>
    <row r="32" spans="1:4" ht="16.5" thickTop="1" x14ac:dyDescent="0.25"/>
    <row r="33" spans="1:4" x14ac:dyDescent="0.25">
      <c r="A33" s="1" t="s">
        <v>156</v>
      </c>
      <c r="B33" s="13">
        <v>0</v>
      </c>
      <c r="C33" s="13"/>
      <c r="D33" s="13">
        <v>0</v>
      </c>
    </row>
  </sheetData>
  <phoneticPr fontId="11" type="noConversion"/>
  <pageMargins left="0.75" right="0.54" top="1.33" bottom="1" header="0.5" footer="0.5"/>
  <pageSetup scale="96" orientation="portrait" horizontalDpi="4294967293" verticalDpi="300" r:id="rId1"/>
  <headerFooter alignWithMargins="0">
    <oddHeader>&amp;L&amp;"Arial,Bold"City of Monroe
Statement of Cash Flows
Proprietary-type Funds
For the year ended December 31, 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Stores &amp; Services Fund</vt:lpstr>
      <vt:lpstr>Water &amp; Sewer Fund</vt:lpstr>
      <vt:lpstr>Closing Entries</vt:lpstr>
      <vt:lpstr>Stmt of revenues &amp; expenses</vt:lpstr>
      <vt:lpstr>Stmt of net position</vt:lpstr>
      <vt:lpstr>Stmt of Cash Flows</vt:lpstr>
      <vt:lpstr>'Closing Entries'!Print_Area</vt:lpstr>
      <vt:lpstr>'Stmt of Cash Flows'!Print_Area</vt:lpstr>
      <vt:lpstr>'Stmt of net position'!Print_Area</vt:lpstr>
      <vt:lpstr>'Stmt of revenues &amp; expenses'!Print_Area</vt:lpstr>
      <vt:lpstr>'Stores &amp; Services Fund'!Print_Area</vt:lpstr>
      <vt:lpstr>'Water &amp; Sewer Fund'!Print_Area</vt:lpstr>
    </vt:vector>
  </TitlesOfParts>
  <Company>James Madison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Copley, Paul - copleypa</dc:creator>
  <cp:lastModifiedBy>UT</cp:lastModifiedBy>
  <cp:lastPrinted>2012-08-30T00:37:52Z</cp:lastPrinted>
  <dcterms:created xsi:type="dcterms:W3CDTF">2010-02-05T17:59:51Z</dcterms:created>
  <dcterms:modified xsi:type="dcterms:W3CDTF">2018-03-16T22:35:08Z</dcterms:modified>
</cp:coreProperties>
</file>